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webextension1.xml" ContentType="application/vnd.ms-office.webextens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mployees Folder\Substations ---\Andiswa Gwelana\2021\Dimbaza Substation Refurb_2021\DIMBAZA S_S FDP REV3\2. BOQ\"/>
    </mc:Choice>
  </mc:AlternateContent>
  <xr:revisionPtr revIDLastSave="0" documentId="13_ncr:1_{7A5BBFB5-A929-4A0A-AD3F-12F909C15CC8}" xr6:coauthVersionLast="47" xr6:coauthVersionMax="47" xr10:uidLastSave="{00000000-0000-0000-0000-000000000000}"/>
  <bookViews>
    <workbookView xWindow="32415" yWindow="1740" windowWidth="17280" windowHeight="8970" tabRatio="916" xr2:uid="{00000000-000D-0000-FFFF-FFFF00000000}"/>
  </bookViews>
  <sheets>
    <sheet name="Cover sht" sheetId="1" r:id="rId1"/>
    <sheet name="Civil Works 1" sheetId="66" r:id="rId2"/>
    <sheet name="Civil Works 2" sheetId="105" r:id="rId3"/>
    <sheet name="Steel Erection 1" sheetId="68" r:id="rId4"/>
    <sheet name="Steel Erection 2 " sheetId="43" r:id="rId5"/>
    <sheet name="Equipment Erection 1" sheetId="44" r:id="rId6"/>
    <sheet name="Equipment Erection 2 " sheetId="59" r:id="rId7"/>
    <sheet name="Conductor, Clamps &amp; Earthing 1 " sheetId="60" r:id="rId8"/>
    <sheet name="Conductors, Clamps &amp; Earthing 2" sheetId="72" r:id="rId9"/>
    <sheet name="MV Cabling" sheetId="106" r:id="rId10"/>
    <sheet name="Control Plant 1 " sheetId="102" r:id="rId11"/>
    <sheet name="Control Plant 2" sheetId="101" r:id="rId12"/>
    <sheet name="Control Plant 3" sheetId="103" r:id="rId13"/>
    <sheet name="Secondary Plant 1" sheetId="63" state="hidden" r:id="rId14"/>
    <sheet name="Secondary Plant 2" sheetId="55" state="hidden" r:id="rId15"/>
    <sheet name="Secondary Plant 3" sheetId="77" state="hidden" r:id="rId16"/>
    <sheet name="Control Building" sheetId="108" r:id="rId17"/>
    <sheet name="Decommission 1" sheetId="88" r:id="rId18"/>
    <sheet name="Decommission 2" sheetId="94" r:id="rId19"/>
    <sheet name="Labels 1" sheetId="96" r:id="rId20"/>
    <sheet name="App B (1)" sheetId="84" r:id="rId21"/>
    <sheet name="App B(2)" sheetId="81" r:id="rId22"/>
    <sheet name="Free issue (1)" sheetId="20" state="hidden" r:id="rId23"/>
    <sheet name="Free issue (2)" sheetId="33" state="hidden" r:id="rId24"/>
    <sheet name="Data" sheetId="21" state="hidden" r:id="rId25"/>
    <sheet name="Decommisioning" sheetId="22" state="hidden" r:id="rId26"/>
  </sheets>
  <externalReferences>
    <externalReference r:id="rId27"/>
    <externalReference r:id="rId28"/>
  </externalReferences>
  <definedNames>
    <definedName name="_xlnm._FilterDatabase" localSheetId="1" hidden="1">'Civil Works 1'!$B$1:$B$4</definedName>
    <definedName name="_xlnm._FilterDatabase" localSheetId="2" hidden="1">'Civil Works 2'!$B$1:$B$4</definedName>
    <definedName name="_xlnm._FilterDatabase" localSheetId="7" hidden="1">'Conductor, Clamps &amp; Earthing 1 '!$B$1:$B$4</definedName>
    <definedName name="_xlnm._FilterDatabase" localSheetId="8" hidden="1">'Conductors, Clamps &amp; Earthing 2'!$B$1:$B$4</definedName>
    <definedName name="_xlnm._FilterDatabase" localSheetId="0" hidden="1">'Cover sht'!#REF!</definedName>
    <definedName name="_xlnm._FilterDatabase" localSheetId="24" hidden="1">Data!$C$6:$C$43</definedName>
    <definedName name="_xlnm._FilterDatabase" localSheetId="5" hidden="1">'Equipment Erection 1'!$B$1:$B$4</definedName>
    <definedName name="_xlnm._FilterDatabase" localSheetId="6" hidden="1">'Equipment Erection 2 '!$B$1:$B$4</definedName>
    <definedName name="_xlnm._FilterDatabase" localSheetId="9" hidden="1">'MV Cabling'!$B$1:$B$4</definedName>
    <definedName name="_xlnm._FilterDatabase" localSheetId="13" hidden="1">'Secondary Plant 1'!$B$1:$B$4</definedName>
    <definedName name="_xlnm._FilterDatabase" localSheetId="14" hidden="1">'Secondary Plant 2'!$B$1:$B$4</definedName>
    <definedName name="_xlnm._FilterDatabase" localSheetId="15" hidden="1">'Secondary Plant 3'!$B$1:$B$4</definedName>
    <definedName name="_xlnm._FilterDatabase" localSheetId="3" hidden="1">'Steel Erection 1'!$B$1:$B$4</definedName>
    <definedName name="_xlnm._FilterDatabase" localSheetId="4" hidden="1">'Steel Erection 2 '!$B$1:$B$4</definedName>
    <definedName name="_xlnm.Print_Area" localSheetId="20">'App B (1)'!$A$1:$D$61</definedName>
    <definedName name="_xlnm.Print_Area" localSheetId="21">'App B(2)'!$A$1:$D$66</definedName>
    <definedName name="_xlnm.Print_Area" localSheetId="1">'Civil Works 1'!$B$1:$K$43</definedName>
    <definedName name="_xlnm.Print_Area" localSheetId="2">'Civil Works 2'!$B$1:$K$43</definedName>
    <definedName name="_xlnm.Print_Area" localSheetId="7">'Conductor, Clamps &amp; Earthing 1 '!$B$1:$K$43</definedName>
    <definedName name="_xlnm.Print_Area" localSheetId="8">'Conductors, Clamps &amp; Earthing 2'!$B$1:$K$43</definedName>
    <definedName name="_xlnm.Print_Area" localSheetId="0">'Cover sht'!$B$1:$H$52</definedName>
    <definedName name="_xlnm.Print_Area" localSheetId="5">'Equipment Erection 1'!$B$1:$K$43</definedName>
    <definedName name="_xlnm.Print_Area" localSheetId="6">'Equipment Erection 2 '!$B$1:$K$43</definedName>
    <definedName name="_xlnm.Print_Area" localSheetId="22">'Free issue (1)'!$B$1:$H$60</definedName>
    <definedName name="_xlnm.Print_Area" localSheetId="23">'Free issue (2)'!$B$1:$H$60</definedName>
    <definedName name="_xlnm.Print_Area" localSheetId="13">'Secondary Plant 1'!$B$1:$K$43</definedName>
    <definedName name="_xlnm.Print_Area" localSheetId="14">'Secondary Plant 2'!$B$1:$K$43</definedName>
    <definedName name="_xlnm.Print_Area" localSheetId="15">'Secondary Plant 3'!$B$1:$K$43</definedName>
    <definedName name="_xlnm.Print_Area" localSheetId="3">'Steel Erection 1'!$B$1:$K$43</definedName>
    <definedName name="_xlnm.Print_Area" localSheetId="4">'Steel Erection 2 '!$B$1:$K$43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8" l="1"/>
  <c r="A2" i="81"/>
  <c r="B2" i="106" l="1"/>
  <c r="E6" i="101" l="1"/>
  <c r="E12" i="101"/>
  <c r="E18" i="101"/>
  <c r="E24" i="101"/>
  <c r="E26" i="101"/>
  <c r="E42" i="102"/>
  <c r="E40" i="102"/>
  <c r="E38" i="102"/>
  <c r="E36" i="102"/>
  <c r="E34" i="102"/>
  <c r="E32" i="102"/>
  <c r="E30" i="102"/>
  <c r="E28" i="102"/>
  <c r="E26" i="102"/>
  <c r="E24" i="102"/>
  <c r="E22" i="102"/>
  <c r="E18" i="102"/>
  <c r="E16" i="102"/>
  <c r="E14" i="102"/>
  <c r="E12" i="102"/>
  <c r="E10" i="102"/>
  <c r="E8" i="102"/>
  <c r="E6" i="102"/>
  <c r="B2" i="96" l="1"/>
  <c r="B2" i="105" l="1"/>
  <c r="E14" i="103" l="1"/>
  <c r="E34" i="101"/>
  <c r="E32" i="101"/>
  <c r="E30" i="101"/>
  <c r="B2" i="94" l="1"/>
  <c r="B2" i="88" l="1"/>
  <c r="B2" i="77"/>
  <c r="G23" i="63"/>
  <c r="B2" i="72"/>
  <c r="B2" i="68"/>
  <c r="B2" i="66"/>
  <c r="B2" i="63"/>
  <c r="B2" i="60"/>
  <c r="B2" i="59"/>
  <c r="B2" i="55"/>
  <c r="B2" i="44"/>
  <c r="B2" i="43"/>
  <c r="B2" i="33"/>
  <c r="B2" i="20"/>
  <c r="N28" i="21"/>
  <c r="E7" i="21"/>
  <c r="E8" i="21"/>
  <c r="E13" i="21"/>
  <c r="E14" i="21"/>
  <c r="E16" i="21"/>
  <c r="G16" i="21" s="1"/>
  <c r="E17" i="21"/>
  <c r="E18" i="21"/>
  <c r="E19" i="21"/>
  <c r="G19" i="21" s="1"/>
  <c r="E20" i="21"/>
  <c r="F20" i="21" s="1"/>
  <c r="E21" i="21"/>
  <c r="E22" i="21"/>
  <c r="E28" i="21"/>
  <c r="F28" i="21"/>
  <c r="G28" i="21"/>
  <c r="G25" i="21"/>
  <c r="J22" i="21"/>
  <c r="I22" i="21"/>
  <c r="G22" i="21"/>
  <c r="F22" i="21"/>
  <c r="G18" i="21"/>
  <c r="F18" i="21"/>
  <c r="F7" i="21"/>
  <c r="L16" i="21"/>
  <c r="I16" i="21"/>
  <c r="G17" i="21"/>
  <c r="F17" i="21"/>
  <c r="J17" i="21"/>
  <c r="L17" i="21"/>
  <c r="K17" i="21"/>
  <c r="I17" i="21"/>
  <c r="I7" i="21"/>
  <c r="J7" i="21"/>
  <c r="G7" i="21"/>
  <c r="K18" i="21"/>
  <c r="J18" i="21"/>
  <c r="I18" i="21"/>
  <c r="G8" i="21"/>
  <c r="F8" i="21"/>
  <c r="G13" i="21"/>
  <c r="F13" i="21"/>
  <c r="K14" i="21"/>
  <c r="J14" i="21"/>
  <c r="I14" i="21"/>
  <c r="G14" i="21"/>
  <c r="F14" i="21"/>
  <c r="K22" i="21"/>
  <c r="L21" i="21"/>
  <c r="J21" i="21"/>
  <c r="I21" i="21"/>
  <c r="G21" i="21"/>
  <c r="F21" i="21"/>
  <c r="L20" i="21"/>
  <c r="K20" i="21"/>
  <c r="J20" i="21"/>
  <c r="I20" i="21"/>
  <c r="K19" i="21"/>
  <c r="J19" i="21"/>
  <c r="I19" i="21"/>
  <c r="K13" i="21"/>
  <c r="J13" i="21"/>
  <c r="I13" i="21"/>
  <c r="K8" i="21"/>
  <c r="J8" i="21"/>
  <c r="I8" i="21"/>
  <c r="K10" i="21"/>
  <c r="J10" i="21"/>
  <c r="I10" i="21"/>
  <c r="F10" i="21"/>
  <c r="I12" i="21"/>
  <c r="G10" i="21"/>
  <c r="D34" i="21"/>
  <c r="K12" i="21"/>
  <c r="J12" i="21"/>
  <c r="G12" i="21"/>
  <c r="F12" i="21"/>
  <c r="D37" i="21"/>
  <c r="D36" i="21" s="1"/>
  <c r="C36" i="21" s="1"/>
  <c r="G27" i="21"/>
  <c r="I27" i="21" s="1"/>
  <c r="F27" i="21"/>
  <c r="I11" i="21"/>
  <c r="G11" i="21"/>
  <c r="F11" i="21"/>
  <c r="G34" i="21"/>
  <c r="G33" i="21"/>
  <c r="L26" i="21"/>
  <c r="G26" i="21"/>
  <c r="F26" i="21"/>
  <c r="I26" i="21"/>
  <c r="K7" i="21"/>
  <c r="K11" i="21"/>
  <c r="K21" i="21"/>
  <c r="H35" i="21"/>
  <c r="G35" i="21"/>
  <c r="F35" i="21"/>
  <c r="H33" i="21"/>
  <c r="H34" i="21"/>
  <c r="F34" i="21"/>
  <c r="F38" i="21"/>
  <c r="M45" i="21"/>
  <c r="J11" i="21"/>
  <c r="F33" i="21"/>
  <c r="J11" i="22"/>
  <c r="I11" i="22"/>
  <c r="H11" i="22"/>
  <c r="G11" i="22"/>
  <c r="F11" i="22"/>
  <c r="K11" i="22" s="1"/>
  <c r="I10" i="22"/>
  <c r="H10" i="22"/>
  <c r="F10" i="22"/>
  <c r="J10" i="22"/>
  <c r="G10" i="22"/>
  <c r="I9" i="22"/>
  <c r="H9" i="22"/>
  <c r="G9" i="22"/>
  <c r="E9" i="22" s="1"/>
  <c r="F9" i="22"/>
  <c r="J9" i="22"/>
  <c r="G5" i="22"/>
  <c r="I5" i="22"/>
  <c r="G4" i="22"/>
  <c r="I4" i="22"/>
  <c r="G6" i="22"/>
  <c r="I6" i="22"/>
  <c r="G7" i="22"/>
  <c r="I7" i="22"/>
  <c r="G8" i="22"/>
  <c r="I8" i="22"/>
  <c r="G12" i="22"/>
  <c r="I12" i="22"/>
  <c r="G13" i="22"/>
  <c r="I13" i="22"/>
  <c r="G14" i="22"/>
  <c r="I14" i="22"/>
  <c r="E14" i="22" s="1"/>
  <c r="G15" i="22"/>
  <c r="I15" i="22"/>
  <c r="G16" i="22"/>
  <c r="I16" i="22"/>
  <c r="E17" i="22"/>
  <c r="H15" i="22"/>
  <c r="F15" i="22"/>
  <c r="J15" i="22"/>
  <c r="H14" i="22"/>
  <c r="F14" i="22"/>
  <c r="F13" i="22"/>
  <c r="H13" i="22"/>
  <c r="J13" i="22"/>
  <c r="F12" i="22"/>
  <c r="H12" i="22"/>
  <c r="J12" i="22"/>
  <c r="F16" i="22"/>
  <c r="H16" i="22"/>
  <c r="F4" i="22"/>
  <c r="F5" i="22"/>
  <c r="F6" i="22"/>
  <c r="F7" i="22"/>
  <c r="F8" i="22"/>
  <c r="H8" i="22"/>
  <c r="J8" i="22"/>
  <c r="J16" i="22"/>
  <c r="J7" i="22"/>
  <c r="J5" i="22"/>
  <c r="J4" i="22"/>
  <c r="H5" i="22"/>
  <c r="H6" i="22"/>
  <c r="H7" i="22"/>
  <c r="F17" i="22"/>
  <c r="K17" i="22" s="1"/>
  <c r="H4" i="22"/>
  <c r="H20" i="22" s="1"/>
  <c r="E11" i="22" l="1"/>
  <c r="E8" i="22"/>
  <c r="E6" i="22"/>
  <c r="K14" i="22"/>
  <c r="E12" i="22"/>
  <c r="K10" i="22"/>
  <c r="K9" i="22"/>
  <c r="F16" i="21"/>
  <c r="K8" i="22"/>
  <c r="K13" i="22"/>
  <c r="J45" i="21"/>
  <c r="K15" i="22"/>
  <c r="E16" i="22"/>
  <c r="L45" i="21"/>
  <c r="K7" i="22"/>
  <c r="J20" i="22"/>
  <c r="K6" i="22"/>
  <c r="E7" i="22"/>
  <c r="E4" i="22"/>
  <c r="H45" i="21"/>
  <c r="K45" i="21"/>
  <c r="G20" i="21"/>
  <c r="E23" i="21"/>
  <c r="G45" i="21"/>
  <c r="K5" i="22"/>
  <c r="K4" i="22"/>
  <c r="K12" i="22"/>
  <c r="E15" i="22"/>
  <c r="E5" i="22"/>
  <c r="K16" i="22"/>
  <c r="E13" i="22"/>
  <c r="E10" i="22"/>
  <c r="I45" i="21"/>
  <c r="F19" i="21"/>
  <c r="F20" i="22"/>
  <c r="F45" i="21" l="1"/>
  <c r="K20" i="22"/>
  <c r="E20" i="22"/>
</calcChain>
</file>

<file path=xl/sharedStrings.xml><?xml version="1.0" encoding="utf-8"?>
<sst xmlns="http://schemas.openxmlformats.org/spreadsheetml/2006/main" count="2416" uniqueCount="1207">
  <si>
    <t>Site plan</t>
  </si>
  <si>
    <t>Label specifications -battery room</t>
  </si>
  <si>
    <t>Key Tag</t>
  </si>
  <si>
    <t>Lock</t>
  </si>
  <si>
    <t>Qty</t>
  </si>
  <si>
    <t>5.1.1</t>
  </si>
  <si>
    <t>5.2.1</t>
  </si>
  <si>
    <t>5.3.1</t>
  </si>
  <si>
    <t>5.4.1</t>
  </si>
  <si>
    <t>5.5.1</t>
  </si>
  <si>
    <t>5.6.1</t>
  </si>
  <si>
    <t>5.7.1</t>
  </si>
  <si>
    <t>5.8.1</t>
  </si>
  <si>
    <t>5.9.1</t>
  </si>
  <si>
    <t>5.10</t>
  </si>
  <si>
    <t>5.10.1</t>
  </si>
  <si>
    <t>5.11.1</t>
  </si>
  <si>
    <t>5.12.1</t>
  </si>
  <si>
    <t xml:space="preserve">Secondary Plant  </t>
  </si>
  <si>
    <t>6.1.1</t>
  </si>
  <si>
    <t>6.2.1</t>
  </si>
  <si>
    <t>6.3.1</t>
  </si>
  <si>
    <t>6.4.1</t>
  </si>
  <si>
    <t>6.5.1</t>
  </si>
  <si>
    <t>6.6.1</t>
  </si>
  <si>
    <t>6.7.1</t>
  </si>
  <si>
    <t>6.8.1</t>
  </si>
  <si>
    <t>6.9.1</t>
  </si>
  <si>
    <t>6.10.1</t>
  </si>
  <si>
    <t>6.11.1</t>
  </si>
  <si>
    <t>6.12.1</t>
  </si>
  <si>
    <t>List all drawings applicable to the works or the asset and temporary works, indicating whether they are approved for use (ABU) or not.</t>
  </si>
  <si>
    <t>D-DT-6081-01</t>
  </si>
  <si>
    <t>D-DT-6112</t>
  </si>
  <si>
    <t>D-DT-6113</t>
  </si>
  <si>
    <t>ACC-3</t>
  </si>
  <si>
    <t>66/22</t>
  </si>
  <si>
    <t>TRFR</t>
  </si>
  <si>
    <t>10MVA</t>
  </si>
  <si>
    <t>0185767</t>
  </si>
  <si>
    <t xml:space="preserve">Aluminum Alloy Tubes,  7,4mx120mmØx4mm thick </t>
  </si>
  <si>
    <t>STP-26</t>
  </si>
  <si>
    <t>Stud palm clamp, (Bolted-Palm)</t>
  </si>
  <si>
    <t>Clamp Acrylic cover</t>
  </si>
  <si>
    <t>Breakers &amp; Supports</t>
  </si>
  <si>
    <t>K-2</t>
  </si>
  <si>
    <t>0005176</t>
  </si>
  <si>
    <t>NEC/NER/AUX Trfr &amp; supp.</t>
  </si>
  <si>
    <t>0182732</t>
  </si>
  <si>
    <t>1600A 25kA</t>
  </si>
  <si>
    <t>0012945</t>
  </si>
  <si>
    <t>0180035</t>
  </si>
  <si>
    <t>0004562</t>
  </si>
  <si>
    <t>1600A 20kA</t>
  </si>
  <si>
    <t>0170220</t>
  </si>
  <si>
    <t>Breakers</t>
  </si>
  <si>
    <t>120 O.D. &amp; 112 I.D.</t>
  </si>
  <si>
    <t>120 to 38</t>
  </si>
  <si>
    <t>120 to 120</t>
  </si>
  <si>
    <t>26,5 to 26</t>
  </si>
  <si>
    <t>26,5 to 38</t>
  </si>
  <si>
    <t>38,3 to 38</t>
  </si>
  <si>
    <t>38 to 26,5</t>
  </si>
  <si>
    <t>38 to 38,3</t>
  </si>
  <si>
    <t>26,5 to(50x50)</t>
  </si>
  <si>
    <t>12-19 to 22-29</t>
  </si>
  <si>
    <t>0005159</t>
  </si>
  <si>
    <t>SPC-1 drilled</t>
  </si>
  <si>
    <t xml:space="preserve">Steelwork  Erection </t>
  </si>
  <si>
    <t>Cable support bracket (medium equipment support 2.5m) :</t>
  </si>
  <si>
    <t>Bracket (Phasing discs label):</t>
  </si>
  <si>
    <t>Bracket (Busbar label):</t>
  </si>
  <si>
    <t xml:space="preserve"> Equipment Erection </t>
  </si>
  <si>
    <t>Flood lights:</t>
  </si>
  <si>
    <t>Labels (Equipment):</t>
  </si>
  <si>
    <t>Supply and install as per label schedule.</t>
  </si>
  <si>
    <t>Key tags (Equipment):</t>
  </si>
  <si>
    <t>Locks non standard (Equipment):</t>
  </si>
  <si>
    <t>Supply.</t>
  </si>
  <si>
    <t>Substation mimic board:</t>
  </si>
  <si>
    <t>n/a</t>
  </si>
  <si>
    <t>Fire extinguishers:</t>
  </si>
  <si>
    <t>Supply and install fire extinguishers with class fiber box:</t>
  </si>
  <si>
    <t>Transport:</t>
  </si>
  <si>
    <t>Transport secondary / primary plant equipment with LDV 1 ton vehicle:</t>
  </si>
  <si>
    <t>Transport secondary / primary plant equipment with LDV 8 ton vehicle:</t>
  </si>
  <si>
    <t>Miscellaneous equipment / material:</t>
  </si>
  <si>
    <t>Supply or install equipment / material as requested.</t>
  </si>
  <si>
    <t>Project Specification</t>
  </si>
  <si>
    <t>Take delivery, prepare and install.</t>
  </si>
  <si>
    <t>Take delivery, prepare, crimp and install.</t>
  </si>
  <si>
    <t>Supply, prepare and install:</t>
  </si>
  <si>
    <t>Putty and tape:</t>
  </si>
  <si>
    <t>Supply and install putty and tape for clamps.</t>
  </si>
  <si>
    <t>Supply, prepare and install.</t>
  </si>
  <si>
    <t>Earthing (Main Earthmat, round 10mm).</t>
  </si>
  <si>
    <t>Earthing (Palisade fence, flat 50 x 3mm Drawing for quantity ):</t>
  </si>
  <si>
    <t>Earthing balls:</t>
  </si>
  <si>
    <t>Trenching (Depth 0 - 600mm):</t>
  </si>
  <si>
    <t>Excavate for all secondary protection cables in natural ground.</t>
  </si>
  <si>
    <t>Protection cables:</t>
  </si>
  <si>
    <t>Take delivery and lay.</t>
  </si>
  <si>
    <t>Telecoms cables:</t>
  </si>
  <si>
    <t>Take delivery and lay</t>
  </si>
  <si>
    <t>Remote engineering access cables:</t>
  </si>
  <si>
    <t>Remote engineering access cables (Ethernet):</t>
  </si>
  <si>
    <t>Cable numbers (Remote access, protection &amp; telecoms):</t>
  </si>
  <si>
    <t>Core numbers &amp; lugs (Remote access, protection &amp; telecoms):</t>
  </si>
  <si>
    <t xml:space="preserve">Glands &amp; shrouds (No.1): </t>
  </si>
  <si>
    <t>Glands &amp; shrouds (No.2):</t>
  </si>
  <si>
    <t>Glands &amp; shrouds (No.3):</t>
  </si>
  <si>
    <t xml:space="preserve">Glands &amp; shrouds (No.4): </t>
  </si>
  <si>
    <t>Holes for glands:</t>
  </si>
  <si>
    <t>Drill holes.</t>
  </si>
  <si>
    <t>Swing frame cabinets:</t>
  </si>
  <si>
    <t>Take delivery and install.</t>
  </si>
  <si>
    <t>Loom, number &amp; terminate (LV protection):</t>
  </si>
  <si>
    <t>Make off cable cores.</t>
  </si>
  <si>
    <t>Loom, number &amp; terminate (Telecoms &amp; Telecontrol):</t>
  </si>
  <si>
    <t>Junction boxes (CT / VT / Iso):</t>
  </si>
  <si>
    <t>Transformer scheme:</t>
  </si>
  <si>
    <t>UFLS scheme:</t>
  </si>
  <si>
    <t>Remote Access Module:</t>
  </si>
  <si>
    <t>Generator Supply Interface:</t>
  </si>
  <si>
    <t>Bus Zone scheme:</t>
  </si>
  <si>
    <t>Distance Feeder scheme:</t>
  </si>
  <si>
    <t>Rural Feeder scheme:</t>
  </si>
  <si>
    <t>Cable Feeder scheme:</t>
  </si>
  <si>
    <t>Diff / Distance Feeder scheme:</t>
  </si>
  <si>
    <t>Current Diff scheme</t>
  </si>
  <si>
    <t>OLTC scheme:</t>
  </si>
  <si>
    <t>Remote Access SS PC:</t>
  </si>
  <si>
    <t>Meinberg GPS:</t>
  </si>
  <si>
    <t>Recorder (Sherlog / PvZ):</t>
  </si>
  <si>
    <t>Metering Module:</t>
  </si>
  <si>
    <t>Vectograph:</t>
  </si>
  <si>
    <t>Remote Access RASM:</t>
  </si>
  <si>
    <t>AC/DC Moduless:</t>
  </si>
  <si>
    <t>AC/DC panels:</t>
  </si>
  <si>
    <t>Battery charger:</t>
  </si>
  <si>
    <t>Secondary Plant (Continued)                                              Balance B/F</t>
  </si>
  <si>
    <t>Bus Tap-off Clamp for Single &amp; Twin Cond.(Specified Angle)</t>
  </si>
  <si>
    <t>LV</t>
  </si>
  <si>
    <t>Cable</t>
  </si>
  <si>
    <t>BVX4ECV</t>
  </si>
  <si>
    <t>BVX12DCV</t>
  </si>
  <si>
    <t>BVX19DCV</t>
  </si>
  <si>
    <t>Remote Comms</t>
  </si>
  <si>
    <t>Gland</t>
  </si>
  <si>
    <t>No. 1 Cable Gland</t>
  </si>
  <si>
    <t>No. 2 Cable Gland</t>
  </si>
  <si>
    <t>No. 3 Cable Gland</t>
  </si>
  <si>
    <t>0005626</t>
  </si>
  <si>
    <t>120 to 26</t>
  </si>
  <si>
    <t>0213941</t>
  </si>
  <si>
    <t>TBCT-120/26/C</t>
  </si>
  <si>
    <t>16,3 to 26</t>
  </si>
  <si>
    <t>16,3 to 38</t>
  </si>
  <si>
    <t xml:space="preserve">Aluminum Alloy Tubes, 9mx120mmØx4mm thick </t>
  </si>
  <si>
    <t>0206118</t>
  </si>
  <si>
    <t>BVX4HCV</t>
  </si>
  <si>
    <t>BVX2HCV</t>
  </si>
  <si>
    <t>BVX2ECV</t>
  </si>
  <si>
    <t>Telephone Comms</t>
  </si>
  <si>
    <t>Equipment labels</t>
  </si>
  <si>
    <t>Ref. DRG. No. Proj. Specification</t>
  </si>
  <si>
    <t>item</t>
  </si>
  <si>
    <t>D-EC-1945</t>
  </si>
  <si>
    <t>Busbar label bracket</t>
  </si>
  <si>
    <t>D-EC-1938-1</t>
  </si>
  <si>
    <t>D-DT-5217-5</t>
  </si>
  <si>
    <t>Extra over all excavations:</t>
  </si>
  <si>
    <t>Supply, prepare area and install.</t>
  </si>
  <si>
    <t>Trench kerbing:</t>
  </si>
  <si>
    <t>Cable trench cover (750mm):</t>
  </si>
  <si>
    <t>Supply and install.</t>
  </si>
  <si>
    <t xml:space="preserve">Civil Works                                                                               </t>
  </si>
  <si>
    <t>sum</t>
  </si>
  <si>
    <t>TOTAL CARRIED FORWARD TO SUMMARY PAGE 'B'</t>
  </si>
  <si>
    <t>R</t>
  </si>
  <si>
    <t xml:space="preserve">     Signature                                            Date</t>
  </si>
  <si>
    <t>TIME RELATED ITEMS</t>
  </si>
  <si>
    <t>Sub Total 'A'</t>
  </si>
  <si>
    <t>Sub Total 'B'</t>
  </si>
  <si>
    <t>Balance C/F</t>
  </si>
  <si>
    <t>4.12.1</t>
  </si>
  <si>
    <t>4.18.1</t>
  </si>
  <si>
    <t>4.19.1</t>
  </si>
  <si>
    <t>4.20</t>
  </si>
  <si>
    <t>4.20.1</t>
  </si>
  <si>
    <t>4.21.1</t>
  </si>
  <si>
    <t>4.22.1</t>
  </si>
  <si>
    <t>4.23.1</t>
  </si>
  <si>
    <t>4.24.1</t>
  </si>
  <si>
    <t>4.25.1</t>
  </si>
  <si>
    <t>Item No.</t>
  </si>
  <si>
    <t>Description of the item</t>
  </si>
  <si>
    <t>Unit</t>
  </si>
  <si>
    <t>Quantity</t>
  </si>
  <si>
    <t>Total</t>
  </si>
  <si>
    <t>A</t>
  </si>
  <si>
    <t>B</t>
  </si>
  <si>
    <t>2.1.1</t>
  </si>
  <si>
    <t>2.2.1</t>
  </si>
  <si>
    <t>m</t>
  </si>
  <si>
    <t>Yes</t>
  </si>
  <si>
    <t>no</t>
  </si>
  <si>
    <t>1.1.1</t>
  </si>
  <si>
    <t>4.1.1</t>
  </si>
  <si>
    <t>3.3.1</t>
  </si>
  <si>
    <t>3.4.1</t>
  </si>
  <si>
    <t>3.5.1</t>
  </si>
  <si>
    <t>3.6.1</t>
  </si>
  <si>
    <t>C2</t>
  </si>
  <si>
    <t>C1</t>
  </si>
  <si>
    <t>C3</t>
  </si>
  <si>
    <t>C4</t>
  </si>
  <si>
    <t>2.2</t>
  </si>
  <si>
    <t>Labour Rate</t>
  </si>
  <si>
    <t>Material Cost</t>
  </si>
  <si>
    <t>Labour Cost</t>
  </si>
  <si>
    <t>Total Price</t>
  </si>
  <si>
    <t>Rands</t>
  </si>
  <si>
    <t>4.2.1</t>
  </si>
  <si>
    <t>3.7.1</t>
  </si>
  <si>
    <t>1.2.1</t>
  </si>
  <si>
    <t>1.3.1</t>
  </si>
  <si>
    <t>1.4.1</t>
  </si>
  <si>
    <t>1.5.1</t>
  </si>
  <si>
    <t>1.6.1</t>
  </si>
  <si>
    <t>2.3</t>
  </si>
  <si>
    <t>2.3.1</t>
  </si>
  <si>
    <t>2.4</t>
  </si>
  <si>
    <t>2.4.1</t>
  </si>
  <si>
    <t>2.5</t>
  </si>
  <si>
    <t>2.5.1</t>
  </si>
  <si>
    <t>2.6</t>
  </si>
  <si>
    <t>2.6.1</t>
  </si>
  <si>
    <t>3.1.1</t>
  </si>
  <si>
    <t>3.2.1</t>
  </si>
  <si>
    <t>4.3.1</t>
  </si>
  <si>
    <t>4.4.1</t>
  </si>
  <si>
    <t>4.5.1</t>
  </si>
  <si>
    <t>4.6.1</t>
  </si>
  <si>
    <t>Description</t>
  </si>
  <si>
    <t>Site Activities</t>
  </si>
  <si>
    <t>Concrete</t>
  </si>
  <si>
    <t>Drawing No.</t>
  </si>
  <si>
    <t>Rev</t>
  </si>
  <si>
    <t>AFU Attached</t>
  </si>
  <si>
    <t>4.7.1</t>
  </si>
  <si>
    <t>2.7</t>
  </si>
  <si>
    <t>2.7.1</t>
  </si>
  <si>
    <t>2.8</t>
  </si>
  <si>
    <t>2.8.1</t>
  </si>
  <si>
    <t>2.9</t>
  </si>
  <si>
    <t>2.9.1</t>
  </si>
  <si>
    <t>2.10</t>
  </si>
  <si>
    <t>2.10.1</t>
  </si>
  <si>
    <t>2.11</t>
  </si>
  <si>
    <t>2.11.1</t>
  </si>
  <si>
    <t>2.12</t>
  </si>
  <si>
    <t>2.12.1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</si>
  <si>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</si>
  <si>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</si>
  <si>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</si>
  <si>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</si>
  <si>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</si>
  <si>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</si>
  <si>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</si>
  <si>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</si>
  <si>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</si>
  <si>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3.9.1</t>
  </si>
  <si>
    <t>3.10</t>
  </si>
  <si>
    <t>3.10.1</t>
  </si>
  <si>
    <t>2.13</t>
  </si>
  <si>
    <t>2.13.1</t>
  </si>
  <si>
    <t>2.14</t>
  </si>
  <si>
    <t>2.14.1</t>
  </si>
  <si>
    <t>2.15</t>
  </si>
  <si>
    <t>2.15.1</t>
  </si>
  <si>
    <t>*Note all fields highlighted in yellow contain a formalae and is not to be changed.</t>
  </si>
  <si>
    <t>All white fields is where the the qauntities are entered.</t>
  </si>
  <si>
    <t>All green is specific to a substation</t>
  </si>
  <si>
    <t>Dgn no.</t>
  </si>
  <si>
    <t>Qauntity</t>
  </si>
  <si>
    <t>Area</t>
  </si>
  <si>
    <t>Excavations</t>
  </si>
  <si>
    <t>Cemetile prod.</t>
  </si>
  <si>
    <t>Formwork</t>
  </si>
  <si>
    <t>H.D. Bolts</t>
  </si>
  <si>
    <t>reinforcing kg</t>
  </si>
  <si>
    <t>round cu</t>
  </si>
  <si>
    <r>
      <t xml:space="preserve"> m</t>
    </r>
    <r>
      <rPr>
        <b/>
        <vertAlign val="superscript"/>
        <sz val="9"/>
        <rFont val="Arial"/>
        <family val="2"/>
      </rPr>
      <t>3</t>
    </r>
  </si>
  <si>
    <t>kg</t>
  </si>
  <si>
    <r>
      <t xml:space="preserve"> m</t>
    </r>
    <r>
      <rPr>
        <b/>
        <vertAlign val="superscript"/>
        <sz val="9"/>
        <rFont val="Arial"/>
        <family val="2"/>
      </rPr>
      <t>2</t>
    </r>
  </si>
  <si>
    <t>no.</t>
  </si>
  <si>
    <t>Isolators</t>
  </si>
  <si>
    <t>D-DT-5205 S1 R3</t>
  </si>
  <si>
    <t>22kV Isolator</t>
  </si>
  <si>
    <t>N/A</t>
  </si>
  <si>
    <t>D-DT-5203 Sht 1 Rev 2</t>
  </si>
  <si>
    <t>66kV isolator</t>
  </si>
  <si>
    <t>Circuit breakers</t>
  </si>
  <si>
    <t>0.54/4246 rev. 0</t>
  </si>
  <si>
    <t>88kV A.E.G Circuit breaker foundation</t>
  </si>
  <si>
    <t>0.54/534 rev. 5</t>
  </si>
  <si>
    <t>66kV Reyrolle type OSM O.C.B</t>
  </si>
  <si>
    <t>0.54/4276 rev. 0</t>
  </si>
  <si>
    <t>22kV GEC CB (dog box)</t>
  </si>
  <si>
    <t>D-DT-5200 s1 r1</t>
  </si>
  <si>
    <t>132kV circuit bkr (soil type 1&amp;2)</t>
  </si>
  <si>
    <t>D-DT-5201 r1</t>
  </si>
  <si>
    <t>66kV circuit bkr (soil type 1&amp;2)</t>
  </si>
  <si>
    <t>Other foundations</t>
  </si>
  <si>
    <t>D-EC-1929</t>
  </si>
  <si>
    <t>3m Container  foundation</t>
  </si>
  <si>
    <t>D-EC-1930</t>
  </si>
  <si>
    <t>Transformer supp fdn details</t>
  </si>
  <si>
    <t>D-EC-1814 S1</t>
  </si>
  <si>
    <t>Auto recloser supporrt foundation</t>
  </si>
  <si>
    <t>D-DT-5206 S1 R1</t>
  </si>
  <si>
    <t>Medium equipment supp. foundation</t>
  </si>
  <si>
    <t>0.54/329</t>
  </si>
  <si>
    <t>Column foundation</t>
  </si>
  <si>
    <t>D-DT-5051-1</t>
  </si>
  <si>
    <t>Standard lighting/lightning spike foundattion 8m type 'B'</t>
  </si>
  <si>
    <t>D-DT-5207</t>
  </si>
  <si>
    <t>NECRT Support</t>
  </si>
  <si>
    <t>area for new found. =</t>
  </si>
  <si>
    <t>Transformer plinth</t>
  </si>
  <si>
    <r>
      <t>floor Area m</t>
    </r>
    <r>
      <rPr>
        <b/>
        <vertAlign val="superscript"/>
        <sz val="8"/>
        <rFont val="Arial"/>
        <family val="2"/>
      </rPr>
      <t>2</t>
    </r>
  </si>
  <si>
    <t>D-EC-xxxx-9</t>
  </si>
  <si>
    <t>D-EC-1678-2</t>
  </si>
  <si>
    <t>Auxiliary transformer</t>
  </si>
  <si>
    <t>Mechanism box</t>
  </si>
  <si>
    <t>Yard work</t>
  </si>
  <si>
    <t>KB 1157</t>
  </si>
  <si>
    <t>Bullnose edging- 1m outer fence</t>
  </si>
  <si>
    <t>KB 1002</t>
  </si>
  <si>
    <t>cable trench curbing</t>
  </si>
  <si>
    <t>KB 1020</t>
  </si>
  <si>
    <t>Figure 8 (rollover)-road curb</t>
  </si>
  <si>
    <t>Cable trench covers 740x300mm</t>
  </si>
  <si>
    <t>Cable corner covers 740x740mm</t>
  </si>
  <si>
    <t>Main earthing</t>
  </si>
  <si>
    <t>Stoning</t>
  </si>
  <si>
    <t>9mm Road stone</t>
  </si>
  <si>
    <t>19mm yard stone</t>
  </si>
  <si>
    <t>Diamond mesh</t>
  </si>
  <si>
    <t>Barb wire</t>
  </si>
  <si>
    <t>Total qauntity</t>
  </si>
  <si>
    <t>Qauntity: compl conc. Remov.</t>
  </si>
  <si>
    <t>Qauntity: below gnd</t>
  </si>
  <si>
    <r>
      <t>Backfill m</t>
    </r>
    <r>
      <rPr>
        <b/>
        <vertAlign val="superscript"/>
        <sz val="8"/>
        <rFont val="Arial"/>
        <family val="2"/>
      </rPr>
      <t>3</t>
    </r>
  </si>
  <si>
    <r>
      <t>complete conc. rem m</t>
    </r>
    <r>
      <rPr>
        <b/>
        <vertAlign val="superscript"/>
        <sz val="8"/>
        <rFont val="Arial"/>
        <family val="2"/>
      </rPr>
      <t>3</t>
    </r>
  </si>
  <si>
    <r>
      <t>exc. comp. conc. rem m</t>
    </r>
    <r>
      <rPr>
        <b/>
        <vertAlign val="superscript"/>
        <sz val="8"/>
        <rFont val="Arial"/>
        <family val="2"/>
      </rPr>
      <t>3</t>
    </r>
  </si>
  <si>
    <r>
      <t>Concrete 100mm below gnd m</t>
    </r>
    <r>
      <rPr>
        <b/>
        <vertAlign val="superscript"/>
        <sz val="8"/>
        <rFont val="Arial"/>
        <family val="2"/>
      </rPr>
      <t>3</t>
    </r>
  </si>
  <si>
    <r>
      <t>exc. Conc. below gnd m</t>
    </r>
    <r>
      <rPr>
        <b/>
        <vertAlign val="superscript"/>
        <sz val="8"/>
        <rFont val="Arial"/>
        <family val="2"/>
      </rPr>
      <t>3</t>
    </r>
  </si>
  <si>
    <t>hd bolts to be cut off</t>
  </si>
  <si>
    <t>Total concrete removal</t>
  </si>
  <si>
    <t>Tescor 7713/6</t>
  </si>
  <si>
    <t>66kV Isolator foundation</t>
  </si>
  <si>
    <t>66kV bkr</t>
  </si>
  <si>
    <t>66kV Trfr</t>
  </si>
  <si>
    <t>66kV Neutral CT</t>
  </si>
  <si>
    <t>SA base</t>
  </si>
  <si>
    <t>Small equipment supp. (tyalara)</t>
  </si>
  <si>
    <t>foundations Tyalara</t>
  </si>
  <si>
    <t>132kV breaker base Tyalara</t>
  </si>
  <si>
    <t>0.54/494 rev. 5</t>
  </si>
  <si>
    <t>6,6-11-22kV Isolator</t>
  </si>
  <si>
    <t>Smithfield VT foundation</t>
  </si>
  <si>
    <t>Smithfield trfr foundation</t>
  </si>
  <si>
    <t>0.54/308</t>
  </si>
  <si>
    <t>Cable trench</t>
  </si>
  <si>
    <t>Totals</t>
  </si>
  <si>
    <t>Steelwork marking plan</t>
  </si>
  <si>
    <t>Sections and clamps</t>
  </si>
  <si>
    <t>1.7.1</t>
  </si>
  <si>
    <t>bund wall</t>
  </si>
  <si>
    <t>Bricks</t>
  </si>
  <si>
    <t>length in m</t>
  </si>
  <si>
    <t>Height in m</t>
  </si>
  <si>
    <t>drainage 75mm dia pipe</t>
  </si>
  <si>
    <t>Bund wall floor</t>
  </si>
  <si>
    <t>1.8.1</t>
  </si>
  <si>
    <t>1.9.1</t>
  </si>
  <si>
    <t>1.10</t>
  </si>
  <si>
    <t>1.10.1</t>
  </si>
  <si>
    <t>1.11</t>
  </si>
  <si>
    <t>1.11.1</t>
  </si>
  <si>
    <t>1.12</t>
  </si>
  <si>
    <t>1.12.1</t>
  </si>
  <si>
    <t>1.13</t>
  </si>
  <si>
    <t>1.13.1</t>
  </si>
  <si>
    <t>2.16</t>
  </si>
  <si>
    <t>2.16.1</t>
  </si>
  <si>
    <t>2.17</t>
  </si>
  <si>
    <t>2.17.1</t>
  </si>
  <si>
    <t>2.18</t>
  </si>
  <si>
    <t>2.18.1</t>
  </si>
  <si>
    <t>2.19</t>
  </si>
  <si>
    <t>2.19.1</t>
  </si>
  <si>
    <t>3.11.1</t>
  </si>
  <si>
    <t>3.12</t>
  </si>
  <si>
    <t>3.12.1</t>
  </si>
  <si>
    <t>3.13</t>
  </si>
  <si>
    <t>3.13.1</t>
  </si>
  <si>
    <t>3.14</t>
  </si>
  <si>
    <t>3.14.1</t>
  </si>
  <si>
    <t>Station electric diagram</t>
  </si>
  <si>
    <t>Earthmat layout</t>
  </si>
  <si>
    <t>Title</t>
  </si>
  <si>
    <t>Material Rate</t>
  </si>
  <si>
    <t>Erection of Steelwork</t>
  </si>
  <si>
    <t>1.14</t>
  </si>
  <si>
    <t>1.14.1</t>
  </si>
  <si>
    <t>1.15</t>
  </si>
  <si>
    <t>1.15.1</t>
  </si>
  <si>
    <t>4.8.1</t>
  </si>
  <si>
    <t>4.9.1</t>
  </si>
  <si>
    <t>Ref. No.</t>
  </si>
  <si>
    <t>4.10</t>
  </si>
  <si>
    <t>4.10.1</t>
  </si>
  <si>
    <t>4.11.1</t>
  </si>
  <si>
    <t>-</t>
  </si>
  <si>
    <t>D-EC-1949</t>
  </si>
  <si>
    <t>Foundation layout</t>
  </si>
  <si>
    <t>Free issue material</t>
  </si>
  <si>
    <t>QTY</t>
  </si>
  <si>
    <t>kV</t>
  </si>
  <si>
    <t>Equipment</t>
  </si>
  <si>
    <t>mm/kV</t>
  </si>
  <si>
    <t>Sap No.</t>
  </si>
  <si>
    <t>Stem dia mm</t>
  </si>
  <si>
    <t>Type</t>
  </si>
  <si>
    <t>Size in mm</t>
  </si>
  <si>
    <t>Total kg</t>
  </si>
  <si>
    <t>Fixed Charged Items</t>
  </si>
  <si>
    <t>Time Related items (Will be paid as % of work done to date)</t>
  </si>
  <si>
    <t>Erection of Equipment</t>
  </si>
  <si>
    <t>……………………………………                  ……………….</t>
  </si>
  <si>
    <t>14% Vat</t>
  </si>
  <si>
    <t>CODE</t>
  </si>
  <si>
    <t>STANDARD ACTIVITY</t>
  </si>
  <si>
    <t>UNIT</t>
  </si>
  <si>
    <t>RATE</t>
  </si>
  <si>
    <t>TENDER PRICE</t>
  </si>
  <si>
    <t>FIXED CHARGE ITEMS</t>
  </si>
  <si>
    <t>A.1</t>
  </si>
  <si>
    <t>Contractual requirements i.e., insurance’s, statutory contributions, etc.</t>
  </si>
  <si>
    <t>A.2</t>
  </si>
  <si>
    <t xml:space="preserve">Site Establishment - including, offices, telephone and fax, lighting, fencing, toilet facilities, water, etc. </t>
  </si>
  <si>
    <t>A.2.1</t>
  </si>
  <si>
    <t>Office complete as per works information</t>
  </si>
  <si>
    <t>A.2.2</t>
  </si>
  <si>
    <t>Staff Accommodation</t>
  </si>
  <si>
    <t>A.2.3</t>
  </si>
  <si>
    <t>Stores</t>
  </si>
  <si>
    <t>A.2.4</t>
  </si>
  <si>
    <t>Water, Sanitation and Electricity</t>
  </si>
  <si>
    <t>A.2.5</t>
  </si>
  <si>
    <t>Communication</t>
  </si>
  <si>
    <t>A.3</t>
  </si>
  <si>
    <t>B.1</t>
  </si>
  <si>
    <t>Outages</t>
  </si>
  <si>
    <t xml:space="preserve">Contractors must allow for outages being done of weekends. </t>
  </si>
  <si>
    <t>B.1.1</t>
  </si>
  <si>
    <t>Provide detailed breakdown of outage scope complete with time allocations to be handed to the Project Co-ordinator at the outage planning meeting prior to the outage - [minimum of 48 hours]</t>
  </si>
  <si>
    <t>ea</t>
  </si>
  <si>
    <t>B.2</t>
  </si>
  <si>
    <t>Programme and Planning</t>
  </si>
  <si>
    <t>B.2.1</t>
  </si>
  <si>
    <t xml:space="preserve">Contractors must allow for the preparation of a detailed programme reflecting the outage dates. </t>
  </si>
  <si>
    <t>wks</t>
  </si>
  <si>
    <t>B.3</t>
  </si>
  <si>
    <t>B.3.1</t>
  </si>
  <si>
    <t>B.3.2</t>
  </si>
  <si>
    <t>B.3.3</t>
  </si>
  <si>
    <t>B.3.4</t>
  </si>
  <si>
    <t>B.3.5</t>
  </si>
  <si>
    <t>B.4</t>
  </si>
  <si>
    <t>B.5</t>
  </si>
  <si>
    <t>Site Security as per works information</t>
  </si>
  <si>
    <t>B.6</t>
  </si>
  <si>
    <t xml:space="preserve">Plant and Equipment </t>
  </si>
  <si>
    <t>B.7</t>
  </si>
  <si>
    <t>Cost for Health and Safety measures</t>
  </si>
  <si>
    <t>B.8</t>
  </si>
  <si>
    <t>Other time related charges (specify hereunder):</t>
  </si>
  <si>
    <t>km</t>
  </si>
  <si>
    <t>Total C3</t>
  </si>
  <si>
    <t>1250A 20kA</t>
  </si>
  <si>
    <t>0008746</t>
  </si>
  <si>
    <t>K-1</t>
  </si>
  <si>
    <t>0005684</t>
  </si>
  <si>
    <t>TBFX-120/ss</t>
  </si>
  <si>
    <t>TBST-120/26</t>
  </si>
  <si>
    <t>0206323</t>
  </si>
  <si>
    <t>0213925</t>
  </si>
  <si>
    <t>0206325</t>
  </si>
  <si>
    <t>0216201</t>
  </si>
  <si>
    <t>0206319</t>
  </si>
  <si>
    <t>0206320</t>
  </si>
  <si>
    <t>0206341</t>
  </si>
  <si>
    <t>Full In-line Expansion Clamp</t>
  </si>
  <si>
    <t>Bus Stud Terminal Clamps</t>
  </si>
  <si>
    <t>Voltage transformers</t>
  </si>
  <si>
    <t>Height 1220  PCD127</t>
  </si>
  <si>
    <t>Height 770  PCD127</t>
  </si>
  <si>
    <t xml:space="preserve">Meters Centipede Conductor 37/3 78mm AL  </t>
  </si>
  <si>
    <t xml:space="preserve">Meters Hare Conductor 6/4.72mmAL 1/4.72mm ST  </t>
  </si>
  <si>
    <t xml:space="preserve">Meters Bull PVC insulated Conductor 61/4. 26mmAL  </t>
  </si>
  <si>
    <t xml:space="preserve">Meters Hornet PVC insulated Conductor 19/3.25mmAL  </t>
  </si>
  <si>
    <t xml:space="preserve">Ball joint, single earth assembly  </t>
  </si>
  <si>
    <t>TBEC-120</t>
  </si>
  <si>
    <t>TBSI-120/38</t>
  </si>
  <si>
    <t>TBST-120/38</t>
  </si>
  <si>
    <t>TBSC-120/127</t>
  </si>
  <si>
    <t>TBFS-120/127</t>
  </si>
  <si>
    <t>D-shackle</t>
  </si>
  <si>
    <t>0163400</t>
  </si>
  <si>
    <t>Clamp Pistol 3B 5mm – 16mm D7022</t>
  </si>
  <si>
    <t>0185253</t>
  </si>
  <si>
    <t>Clamps (Bolted-Bolted) for Stranded Conductors</t>
  </si>
  <si>
    <t>K-3</t>
  </si>
  <si>
    <t>0005685</t>
  </si>
  <si>
    <t>K-4</t>
  </si>
  <si>
    <t>0005634</t>
  </si>
  <si>
    <t>K-5</t>
  </si>
  <si>
    <t>0005151</t>
  </si>
  <si>
    <t>Stud Clamps (Bolted-Compression) for Stranded Conductors</t>
  </si>
  <si>
    <t>KC-3</t>
  </si>
  <si>
    <t>0005660</t>
  </si>
  <si>
    <t>Palm Clamps (Bolted-Compression) for Stranded Conductors</t>
  </si>
  <si>
    <t>Bus Stud Terminal Clamps (In Line)</t>
  </si>
  <si>
    <t>Fixed Bus Support Clamp</t>
  </si>
  <si>
    <t>Slider Type Fixed Bus Support Clamp</t>
  </si>
  <si>
    <t>Tubular Bus End Cap (Plain)</t>
  </si>
  <si>
    <t>Tubular Bus End Cap (Conductor)</t>
  </si>
  <si>
    <t>0014447</t>
  </si>
  <si>
    <t>0014441</t>
  </si>
  <si>
    <t>0014761</t>
  </si>
  <si>
    <t>0014759</t>
  </si>
  <si>
    <t xml:space="preserve">kg Round Copper Bar </t>
  </si>
  <si>
    <t>0017202</t>
  </si>
  <si>
    <t>kg Flat Copper Bar</t>
  </si>
  <si>
    <t>0017204</t>
  </si>
  <si>
    <t>360A 100kVa</t>
  </si>
  <si>
    <t>2500A 25kA</t>
  </si>
  <si>
    <t>Isolator</t>
  </si>
  <si>
    <t>0012904</t>
  </si>
  <si>
    <t>100VA class 0.2m+100VA</t>
  </si>
  <si>
    <t>Current transformers</t>
  </si>
  <si>
    <t>2P class X 2M class 0.2</t>
  </si>
  <si>
    <t>Surge Arrestor</t>
  </si>
  <si>
    <t>Post insulators</t>
  </si>
  <si>
    <t>10kA</t>
  </si>
  <si>
    <t>M12 lug</t>
  </si>
  <si>
    <t>0017528</t>
  </si>
  <si>
    <t>0017527</t>
  </si>
  <si>
    <t>8 hole pad</t>
  </si>
  <si>
    <t>0004627</t>
  </si>
  <si>
    <t>KC-2</t>
  </si>
  <si>
    <t>0005658</t>
  </si>
  <si>
    <t>Notice pin board 1200x900</t>
  </si>
  <si>
    <t>0172500</t>
  </si>
  <si>
    <t>Chair</t>
  </si>
  <si>
    <t>0171863</t>
  </si>
  <si>
    <t>Desk</t>
  </si>
  <si>
    <t>0171904</t>
  </si>
  <si>
    <t>Rack for earth leads</t>
  </si>
  <si>
    <t>Rack for link stick</t>
  </si>
  <si>
    <t>Lockable key box</t>
  </si>
  <si>
    <t>UT3</t>
  </si>
  <si>
    <t>Tee clamps (Bolted-Bolted) for Stranded Conductors</t>
  </si>
  <si>
    <t>0005638</t>
  </si>
  <si>
    <t>EPC-38</t>
  </si>
  <si>
    <t>Clamp peg</t>
  </si>
  <si>
    <t>Specification: Ball joint for portable earth</t>
  </si>
  <si>
    <t xml:space="preserve">Meters Bull Conductor 61/4 26mm AL  </t>
  </si>
  <si>
    <t>0014452</t>
  </si>
  <si>
    <t>Clamp pistol 3B 19mm – 30mm D6042</t>
  </si>
  <si>
    <t>0011074</t>
  </si>
  <si>
    <t>Longrod 66kV insulator 12kN B/S 31mm/kV  D7029</t>
  </si>
  <si>
    <t>0167609</t>
  </si>
  <si>
    <t>Clev-Ball 16mm IEC 120kN D6059</t>
  </si>
  <si>
    <t>0167508</t>
  </si>
  <si>
    <t>Socket-Tong 16mm 120kN D6061</t>
  </si>
  <si>
    <t>0010270</t>
  </si>
  <si>
    <t xml:space="preserve">Aluminum Alloy Tubes, 10,25mx120mmØx4mm thick </t>
  </si>
  <si>
    <t>Cable Kocos Recorder</t>
  </si>
  <si>
    <t>UVG20ACX</t>
  </si>
  <si>
    <t>UVG4ACX</t>
  </si>
  <si>
    <t>UVG8ACX</t>
  </si>
  <si>
    <t>Label Designation</t>
  </si>
  <si>
    <t>Label Description</t>
  </si>
  <si>
    <t>No</t>
  </si>
  <si>
    <t>Label Size</t>
  </si>
  <si>
    <t>x</t>
  </si>
  <si>
    <t>600 x 250</t>
  </si>
  <si>
    <t>1000 x 250</t>
  </si>
  <si>
    <t>Supervision</t>
  </si>
  <si>
    <t>120 to 18-38</t>
  </si>
  <si>
    <t xml:space="preserve">Aluminum Alloy Tubes, 12,25mx120mmØx4mm thick </t>
  </si>
  <si>
    <t xml:space="preserve">Aluminum Alloy Tubes, 12mx120mmØx4mm thick </t>
  </si>
  <si>
    <t xml:space="preserve">Aluminum Alloy Tubes, 250mmx120mmØx4mm thick </t>
  </si>
  <si>
    <t>Conductor, Clamps and Earthing</t>
  </si>
  <si>
    <t>C5</t>
  </si>
  <si>
    <t>C6</t>
  </si>
  <si>
    <t>3.15</t>
  </si>
  <si>
    <t>3.15.1</t>
  </si>
  <si>
    <t>3.16</t>
  </si>
  <si>
    <t>3.16.1</t>
  </si>
  <si>
    <t>3.17</t>
  </si>
  <si>
    <t>3.17.1</t>
  </si>
  <si>
    <t>3.18.1</t>
  </si>
  <si>
    <t>3.19.1</t>
  </si>
  <si>
    <r>
      <t>m</t>
    </r>
    <r>
      <rPr>
        <sz val="8"/>
        <rFont val="Arial"/>
        <family val="2"/>
      </rPr>
      <t>³</t>
    </r>
  </si>
  <si>
    <t>C7</t>
  </si>
  <si>
    <t>Decommissioning</t>
  </si>
  <si>
    <t>Take delivery and install Cable Feeder scheme complete:</t>
  </si>
  <si>
    <t>Bolt in place.</t>
  </si>
  <si>
    <t>Take delivery and install Rural Feeder scheme complete:</t>
  </si>
  <si>
    <t xml:space="preserve"> Equipment Erection (Continued)                                 Balance B/F</t>
  </si>
  <si>
    <t>Conductor,Clamps and Earthing (Continued)                    Balance B/F</t>
  </si>
  <si>
    <t>Secondary Plant (Continued)                                               Balance B/F</t>
  </si>
  <si>
    <t>D-DT-5015</t>
  </si>
  <si>
    <t>Sign A,B &amp; C</t>
  </si>
  <si>
    <t>D-DT-5016</t>
  </si>
  <si>
    <t>Sign DE - Procedure in case of fire</t>
  </si>
  <si>
    <t>D-DT-5017</t>
  </si>
  <si>
    <t>Sign F</t>
  </si>
  <si>
    <t>D-DT-5018</t>
  </si>
  <si>
    <t>Sign G</t>
  </si>
  <si>
    <t>Substation earths:</t>
  </si>
  <si>
    <t>Substation link stick:</t>
  </si>
  <si>
    <t>6.13.1</t>
  </si>
  <si>
    <t>6.14.1</t>
  </si>
  <si>
    <t>6.15.1</t>
  </si>
  <si>
    <r>
      <t>m</t>
    </r>
    <r>
      <rPr>
        <sz val="8"/>
        <rFont val="Arial"/>
        <family val="2"/>
      </rPr>
      <t>²</t>
    </r>
  </si>
  <si>
    <t>2.20</t>
  </si>
  <si>
    <t>2.21.1</t>
  </si>
  <si>
    <t>2.20.1</t>
  </si>
  <si>
    <t>2.21</t>
  </si>
  <si>
    <t>7.1.1</t>
  </si>
  <si>
    <t>7.2.1</t>
  </si>
  <si>
    <t>7.3.1</t>
  </si>
  <si>
    <t>7.4.1</t>
  </si>
  <si>
    <t>7.5.1</t>
  </si>
  <si>
    <t>7.7.1</t>
  </si>
  <si>
    <t>7.8.1</t>
  </si>
  <si>
    <t>7.6.1</t>
  </si>
  <si>
    <t>6.10</t>
  </si>
  <si>
    <t>6.16.1</t>
  </si>
  <si>
    <t>6.17.1</t>
  </si>
  <si>
    <t>6.18.1</t>
  </si>
  <si>
    <t>6.19.1</t>
  </si>
  <si>
    <t>6.20</t>
  </si>
  <si>
    <t>6.20.1</t>
  </si>
  <si>
    <t>6.21</t>
  </si>
  <si>
    <t>6.21.1</t>
  </si>
  <si>
    <t>6.22</t>
  </si>
  <si>
    <t>6.22.1</t>
  </si>
  <si>
    <t>6.23</t>
  </si>
  <si>
    <t>6.23.1</t>
  </si>
  <si>
    <t>6.24</t>
  </si>
  <si>
    <t>6.24.1</t>
  </si>
  <si>
    <t>6.26</t>
  </si>
  <si>
    <t>6.26.1</t>
  </si>
  <si>
    <t>6.27</t>
  </si>
  <si>
    <t>6.27.1</t>
  </si>
  <si>
    <t>6.28.1</t>
  </si>
  <si>
    <t>6.29</t>
  </si>
  <si>
    <t>6.29.1</t>
  </si>
  <si>
    <t>6.30</t>
  </si>
  <si>
    <t>6.30.1</t>
  </si>
  <si>
    <t>6.31</t>
  </si>
  <si>
    <t>6.31.1</t>
  </si>
  <si>
    <t>6.32.1</t>
  </si>
  <si>
    <t>6.33</t>
  </si>
  <si>
    <t>6.33.1</t>
  </si>
  <si>
    <t>6.34</t>
  </si>
  <si>
    <t>6.34.1</t>
  </si>
  <si>
    <t>6.25</t>
  </si>
  <si>
    <t>6.25.1</t>
  </si>
  <si>
    <t>6.36</t>
  </si>
  <si>
    <t>6.36.1</t>
  </si>
  <si>
    <t>6.37</t>
  </si>
  <si>
    <t>6.37.1</t>
  </si>
  <si>
    <t>6.38</t>
  </si>
  <si>
    <t>6.38.1</t>
  </si>
  <si>
    <t>Total C6</t>
  </si>
  <si>
    <t>6.35</t>
  </si>
  <si>
    <t>6.35.1</t>
  </si>
  <si>
    <t>2.22</t>
  </si>
  <si>
    <t>2.22.1</t>
  </si>
  <si>
    <t>3.20.1</t>
  </si>
  <si>
    <t>D-EC-862-11-1A</t>
  </si>
  <si>
    <t>D-EC-862-11-1B</t>
  </si>
  <si>
    <t>D-EC-862-11-11</t>
  </si>
  <si>
    <t>Current transformers (66kV):</t>
  </si>
  <si>
    <t>Surge arrestors (66kV):</t>
  </si>
  <si>
    <t>Flexible earth leads (66kV Current transformers):</t>
  </si>
  <si>
    <t>66kV BUSBAR 1</t>
  </si>
  <si>
    <t>66kV BUSBAR 2</t>
  </si>
  <si>
    <t>Isolator support (11kV):</t>
  </si>
  <si>
    <t>Supply, assemble, erect and bolt in position (IS101 - IS106).</t>
  </si>
  <si>
    <t>Surge arrestors (11kV):</t>
  </si>
  <si>
    <t>Voltage transformers (11kV):</t>
  </si>
  <si>
    <t>Isolators (11kV):</t>
  </si>
  <si>
    <t>Tubular busbar support (11kV):</t>
  </si>
  <si>
    <t>Decommissioning Razorwire Concete post</t>
  </si>
  <si>
    <t>"U" bolts:</t>
  </si>
  <si>
    <t>Post insulators (66kV):CSE</t>
  </si>
  <si>
    <t>Take delivery, erect and bolt in position (IS101 - IS106).</t>
  </si>
  <si>
    <t>Take delivery, prepare and install.(Provisional)</t>
  </si>
  <si>
    <t>Acrylic covers:</t>
  </si>
  <si>
    <t>Unit Cost</t>
  </si>
  <si>
    <t>Supply and install equipment labels complete</t>
  </si>
  <si>
    <t>(Main gate label)</t>
  </si>
  <si>
    <t>TRFR 2</t>
  </si>
  <si>
    <t>5.13.1</t>
  </si>
  <si>
    <t xml:space="preserve">TRFR 2 </t>
  </si>
  <si>
    <t>DIMBAZA SUBSTATION</t>
  </si>
  <si>
    <t>66kV  BUS CPLR</t>
  </si>
  <si>
    <t>TRFR 3</t>
  </si>
  <si>
    <t>66kV BKR</t>
  </si>
  <si>
    <t>11kV BUSBAR 1</t>
  </si>
  <si>
    <t>66/11 kV</t>
  </si>
  <si>
    <t>11kV BUSBAR 1  ISOLATOR</t>
  </si>
  <si>
    <t>11kV BKR</t>
  </si>
  <si>
    <t>Remove jumpers for scrap</t>
  </si>
  <si>
    <t>Remove clamps for scrap.</t>
  </si>
  <si>
    <t xml:space="preserve"> Razorwire Concete post</t>
  </si>
  <si>
    <t>Trench cover brackets.</t>
  </si>
  <si>
    <t>Supply and install cable trench cover support brackets:</t>
  </si>
  <si>
    <t>7.18.1</t>
  </si>
  <si>
    <t>Security fence :</t>
  </si>
  <si>
    <t>11kV Jumpers c/w clamps:</t>
  </si>
  <si>
    <t>10MVA 66/11kV Transformer 1</t>
  </si>
  <si>
    <t>Disconnect, and transport Transformer to KWT Stores</t>
  </si>
  <si>
    <t>Disconnect, and transport NEC to KWT Stores</t>
  </si>
  <si>
    <t xml:space="preserve">66kV Circuit breaker complete: </t>
  </si>
  <si>
    <t xml:space="preserve">66kV Circuit breaker Steel support  for reuse: </t>
  </si>
  <si>
    <t xml:space="preserve">11kV Voltage  transformers: </t>
  </si>
  <si>
    <t xml:space="preserve">11kV Voltage Transformer  Steel support  </t>
  </si>
  <si>
    <t xml:space="preserve">11kV Voltage Transformer    </t>
  </si>
  <si>
    <t xml:space="preserve">11kV Current transformers: </t>
  </si>
  <si>
    <t xml:space="preserve">11kV CurrentTransformer    </t>
  </si>
  <si>
    <t xml:space="preserve">11kV Current Transformer  Steel support  </t>
  </si>
  <si>
    <t xml:space="preserve">11kV Circuit breaker: </t>
  </si>
  <si>
    <t xml:space="preserve">11kV Circuit  breaker  Steel support  </t>
  </si>
  <si>
    <t xml:space="preserve">11kV Circuit Breaker foundations    </t>
  </si>
  <si>
    <t xml:space="preserve">11kV Line Isolator: </t>
  </si>
  <si>
    <t xml:space="preserve">11kV Line Isolator  Steel support  </t>
  </si>
  <si>
    <t xml:space="preserve">11kV Line Isolator  foundation  </t>
  </si>
  <si>
    <t>11kV Cable Sealing End</t>
  </si>
  <si>
    <t xml:space="preserve">11kVCable Sealing End  Steel support  </t>
  </si>
  <si>
    <t xml:space="preserve">11kV Cable Sealing foundations    </t>
  </si>
  <si>
    <t>MV cable Decommissioning</t>
  </si>
  <si>
    <t>Backfill cable trench and compact</t>
  </si>
  <si>
    <t>7.18</t>
  </si>
  <si>
    <t>7.19</t>
  </si>
  <si>
    <t>7.19.1</t>
  </si>
  <si>
    <t>7.20</t>
  </si>
  <si>
    <t>7.20.1</t>
  </si>
  <si>
    <t>7.21</t>
  </si>
  <si>
    <t>7.21.1</t>
  </si>
  <si>
    <t>7.22</t>
  </si>
  <si>
    <t>7.22.1</t>
  </si>
  <si>
    <t>7.23</t>
  </si>
  <si>
    <t>7.23.1</t>
  </si>
  <si>
    <t>7.24</t>
  </si>
  <si>
    <t>7.24.1</t>
  </si>
  <si>
    <t>7.25</t>
  </si>
  <si>
    <t>7.25.1</t>
  </si>
  <si>
    <t>7.26</t>
  </si>
  <si>
    <t>7.26.1</t>
  </si>
  <si>
    <t>7.27</t>
  </si>
  <si>
    <t>7.27.1</t>
  </si>
  <si>
    <t>7.28</t>
  </si>
  <si>
    <t>7.28.1</t>
  </si>
  <si>
    <t>7.29</t>
  </si>
  <si>
    <t>7.29.1</t>
  </si>
  <si>
    <t>7.30</t>
  </si>
  <si>
    <t>7.30.1</t>
  </si>
  <si>
    <t>7.31</t>
  </si>
  <si>
    <t>7.31.1</t>
  </si>
  <si>
    <t>7.32</t>
  </si>
  <si>
    <t>7.32.1</t>
  </si>
  <si>
    <t xml:space="preserve">14m Lighting mast: </t>
  </si>
  <si>
    <t>Remove  Light Mast for reuse</t>
  </si>
  <si>
    <t xml:space="preserve">14m Light mast  foundations    </t>
  </si>
  <si>
    <t>Remove  Light mast  foundations, refill  &amp; compact.</t>
  </si>
  <si>
    <t>Remove Razor Mesh fence c/w 5m gate.</t>
  </si>
  <si>
    <t>11kV Glass Insulator strings:</t>
  </si>
  <si>
    <t>Set 11 Sht 1A &amp;B</t>
  </si>
  <si>
    <t>Centipede conductor  (0 - 5m):(11kV side)</t>
  </si>
  <si>
    <t>Centipede conductor  (0 - 5m):(66kV side)</t>
  </si>
  <si>
    <t>Take delivery, cut to size and install.</t>
  </si>
  <si>
    <t>4.26.1</t>
  </si>
  <si>
    <t>Total Price Rands</t>
  </si>
  <si>
    <t>Control Plant</t>
  </si>
  <si>
    <t>Take delivery and lay LV protection cables including cable labels:</t>
  </si>
  <si>
    <t>Install LV protection cable. Provisional (see item 1.6.4 in Project specifications)</t>
  </si>
  <si>
    <t>Take delivery and lay telecomms cables including cable labels:</t>
  </si>
  <si>
    <t>Install telecomms cable. Provisional (see item 1.6.4 in Project specifications)</t>
  </si>
  <si>
    <t>Take delivery and lay remote engineering access cables including cable labels:</t>
  </si>
  <si>
    <t>Install access cable. Provisional (see item 1.6.4 in Project specifications)</t>
  </si>
  <si>
    <t>Excavate for all control plant cables in natural ground:</t>
  </si>
  <si>
    <t>Excavate 0-500mm (Provisional)</t>
  </si>
  <si>
    <t>Supply of glands and shrouds and make off protection cables complete:</t>
  </si>
  <si>
    <t>Gland protection cables with Pratley No. 1 Armoured glands and shrouds (Provisional)</t>
  </si>
  <si>
    <t>Gland protection cables with Pratley No. 2 Armoured glands and shrouds (Provisional)</t>
  </si>
  <si>
    <t>Gland protection cables with Pratley No. 3 Armoured glands and shrouds (Provisional)</t>
  </si>
  <si>
    <t>Gland protection cables with Pratley No. 4 Armoured glands and shrouds (Provisional)</t>
  </si>
  <si>
    <t>Drill holes for glands where required:</t>
  </si>
  <si>
    <t>Drill holes complete (Provisional)</t>
  </si>
  <si>
    <t>Take delivery and install swing frame cabinets complete:</t>
  </si>
  <si>
    <t>Bolt cabinets in place (see item 1.6.4 in Project specifications)</t>
  </si>
  <si>
    <t>Loom, number &amp; terminate LV protection cores complete:</t>
  </si>
  <si>
    <t>Make off cable cores (Provisional amount)</t>
  </si>
  <si>
    <t>Loom, number &amp; terminate Telecomms &amp; Telecontrol cores complete:</t>
  </si>
  <si>
    <t>Loom, number &amp; terminate Remote Eng. Access &amp; Recorders cores complete:</t>
  </si>
  <si>
    <t>Take delivery and install junction boxes complete:</t>
  </si>
  <si>
    <t>Install junction boxes (VT/CT/ISOLATOR).</t>
  </si>
  <si>
    <t>Take delivery and install Bus Section scheme complete:</t>
  </si>
  <si>
    <t>Take delivery and install Bus Coupler scheme complete:</t>
  </si>
  <si>
    <t>Take delivery and install Bus Zone scheme complete:</t>
  </si>
  <si>
    <t>Take delivery and install Distance Feeder scheme complete:</t>
  </si>
  <si>
    <t>6.18a</t>
  </si>
  <si>
    <t>Take delivery and install iBox, Mounting Hardware and PSU complete:</t>
  </si>
  <si>
    <t>6.18a.1</t>
  </si>
  <si>
    <t>Assemble and bolt in place.</t>
  </si>
  <si>
    <t>Take delivery and install Diff/Distance Feeder scheme complete:</t>
  </si>
  <si>
    <t>Take delivery and install Current Diff Feeder scheme complete:</t>
  </si>
  <si>
    <t>Take delivery and install OLTC scheme complete:</t>
  </si>
  <si>
    <t>Take delivery and install Transformer scheme complete:</t>
  </si>
  <si>
    <t>Take delivery and install Capacitor Bank scheme complete:</t>
  </si>
  <si>
    <t>Take delivery and install UFLS scheme complete:</t>
  </si>
  <si>
    <t>Take delivery and install AC/DC Panels complete:</t>
  </si>
  <si>
    <t>Take delivery and install AC/DC Modules complete:</t>
  </si>
  <si>
    <t>Take delivery and install Oil Sump Pump complete:</t>
  </si>
  <si>
    <t>Take delivery and install Generator Supply Interface complete:</t>
  </si>
  <si>
    <t>Take delivery and install Remote Access SS PC complete:</t>
  </si>
  <si>
    <t>Take delivery and install Meinberg GPS complete:</t>
  </si>
  <si>
    <t>Take delivery and install Recorder (Sherlog/PvZ) complete:</t>
  </si>
  <si>
    <t>Take delivery and install Metering Module complete:</t>
  </si>
  <si>
    <t>Take delivery and install Vectograph complete:</t>
  </si>
  <si>
    <t>Modify chequer plate covers for new panels complete:</t>
  </si>
  <si>
    <t>Cut to size, touch up paintwork where needed and fit into new positions.</t>
  </si>
  <si>
    <t>m²</t>
  </si>
  <si>
    <t>Supply, Install &amp; paint angle iron to back/front of panel complete:</t>
  </si>
  <si>
    <t>Install angle iron on panel for trench cover support.</t>
  </si>
  <si>
    <t>Decommission LV protection cables:</t>
  </si>
  <si>
    <t>6.39.1</t>
  </si>
  <si>
    <t>Remove cables from trenches and pack in demarcated area (Provisional).</t>
  </si>
  <si>
    <t>Take delivery and lay remote engineering access ETHERNET cables incl cable labels:</t>
  </si>
  <si>
    <t>6.40.1</t>
  </si>
  <si>
    <t>Take delivery and lay remote engineering access piping/trunking:</t>
  </si>
  <si>
    <t>6.41.1</t>
  </si>
  <si>
    <t>Install piping for access cable. Provisional (see item 1.6.4 in Project specifications)</t>
  </si>
  <si>
    <t>Take delivery and install GPS antenna incl cable and labels:</t>
  </si>
  <si>
    <t>6.42.1</t>
  </si>
  <si>
    <t>Install GPS antenna. Provisional (see item 1.6.4 in Project specifications)</t>
  </si>
  <si>
    <t>DIMBAZA 66/11KV SUBSTATION REFURBISHMENT</t>
  </si>
  <si>
    <t>D-EC-862 Set 11</t>
  </si>
  <si>
    <t xml:space="preserve">Supply, assemble, erect and bolt in position (TB101 - TB104). </t>
  </si>
  <si>
    <t xml:space="preserve">D-EC-862 Set 11 </t>
  </si>
  <si>
    <t>4.13.1</t>
  </si>
  <si>
    <t>4.14.1</t>
  </si>
  <si>
    <t>4.15.1</t>
  </si>
  <si>
    <t>4.16.1</t>
  </si>
  <si>
    <t>4.17.1</t>
  </si>
  <si>
    <t>Flexible earth leads for security gate:</t>
  </si>
  <si>
    <t>Supply,prepare and install</t>
  </si>
  <si>
    <t>Voltage transformers 11kV  earthing.</t>
  </si>
  <si>
    <t>66kV Surge arrestor: (steel supoorts shall not be removed)</t>
  </si>
  <si>
    <t>D-EC-1763-1</t>
  </si>
  <si>
    <t>Transformer label T-bracket</t>
  </si>
  <si>
    <t>Flood lights:Reuse</t>
  </si>
  <si>
    <t xml:space="preserve">Transformer 11kV  PI : </t>
  </si>
  <si>
    <t>Remove 11kV  PI  from 11kV beams.</t>
  </si>
  <si>
    <t>NECRT 11kV earthing.</t>
  </si>
  <si>
    <t xml:space="preserve"> Steel Erection (Continued)                                                Balance B/F</t>
  </si>
  <si>
    <t>Supply and bolt in position (D4 -D9, D31-D36, D55 - D72).</t>
  </si>
  <si>
    <t>Total C2</t>
  </si>
  <si>
    <t>Take delivery, erect and bolt in position  (CT1-CT6).</t>
  </si>
  <si>
    <t>Post insulators (66kV): Tubular busbar</t>
  </si>
  <si>
    <t>Take delivery, erect and bolt in position  (CSE101 &amp; CSE102)x6</t>
  </si>
  <si>
    <t>Take delivery, erect and bolt in position (SA101 - SA106)x3.</t>
  </si>
  <si>
    <t>Total C7</t>
  </si>
  <si>
    <t>Removable of waste material from site to nearest registered landfill site  (Project specification).</t>
  </si>
  <si>
    <t>trips</t>
  </si>
  <si>
    <t xml:space="preserve">Dimbaza 66/11kV Substation Refurbishment </t>
  </si>
  <si>
    <t>Lift &amp; stack paving bricks neatly for re-use (See scope for more detail).</t>
  </si>
  <si>
    <t>Paving (Existing paved area):</t>
  </si>
  <si>
    <t>Remove existing cable trench kerbing on cable trench ramp areas.</t>
  </si>
  <si>
    <t>Cable Trench  ramp (10m):</t>
  </si>
  <si>
    <t>Supply and install to suppliers specifications (R1-R4).</t>
  </si>
  <si>
    <t>Yard Stone (Stock Pile):</t>
  </si>
  <si>
    <t>Remove and stockpile yard stone for re-use.</t>
  </si>
  <si>
    <r>
      <t>m</t>
    </r>
    <r>
      <rPr>
        <sz val="8"/>
        <rFont val="Calibri"/>
        <family val="2"/>
      </rPr>
      <t>³</t>
    </r>
  </si>
  <si>
    <t>Re-install clean stock pile yard stone (Not to be mixed with ground see Project Specification)</t>
  </si>
  <si>
    <t>Install existing trench covers.</t>
  </si>
  <si>
    <t>Cable trench kerbing:</t>
  </si>
  <si>
    <t>Weed killer:</t>
  </si>
  <si>
    <t>Supply and spray.</t>
  </si>
  <si>
    <t>Waste bins:</t>
  </si>
  <si>
    <t>Supply bins for waste materials.</t>
  </si>
  <si>
    <t>Waste bins disposal of general waste:</t>
  </si>
  <si>
    <t>1.16</t>
  </si>
  <si>
    <t>1.16.1</t>
  </si>
  <si>
    <t>1.17</t>
  </si>
  <si>
    <t>1.17.1</t>
  </si>
  <si>
    <t>Intermediate material (Provisional amount).</t>
  </si>
  <si>
    <t>Supply and bolt in positions (VT101).</t>
  </si>
  <si>
    <t>M16 x 40mm Gal steel set screw bolts, nuts &amp; washers for phasing disc brackets:</t>
  </si>
  <si>
    <t>M10 x 30mm Stainless steel set screw bolt, nut &amp; 2 x washers for phasing disc (2/disc):</t>
  </si>
  <si>
    <t>M12 x 35mm Stainless steel set screw bolt, nuts and 2 x washers for equipments labels:</t>
  </si>
  <si>
    <t>M12 x 45mm Gal. Steel set screw bolts, nuts, 2 x washers and 1 x tapper washers for SA's:</t>
  </si>
  <si>
    <t>M12 x 65mm Stainless steel set screw bolts, nuts &amp; 2 x washers for Breaker palm clamps:</t>
  </si>
  <si>
    <t>M12 x 65mm Stainless steel set screw bolts, nuts &amp; 2 x washers for Isolator palm clamps:</t>
  </si>
  <si>
    <t>M16 x 40mm Gal. Steel set screw bolts, nut washer &amp; tapper washer for CT`s and VT`s:</t>
  </si>
  <si>
    <t>M16 x 40mm Gal. Steel set screw bolts, nut and washer for busbar labels bracket :</t>
  </si>
  <si>
    <t>M12 x 40mm Gal. Steel set screw bolts, nut and washer for busbar labels :</t>
  </si>
  <si>
    <t>M16 x 35mm Stainless steel set screw bolt, nut and 2 x washers for floodlights:</t>
  </si>
  <si>
    <t>Prepare area and re- install existing paving bricks (See scope for more detail).</t>
  </si>
  <si>
    <t>Remove and stack neatly existing trench covers. (See scope for more detail).</t>
  </si>
  <si>
    <t>Breaker supports (66kV):</t>
  </si>
  <si>
    <t>Supply, assemble, erect and bolt in position (CSE101-CSE102).</t>
  </si>
  <si>
    <t>Single Core Cable Sealing End:</t>
  </si>
  <si>
    <t xml:space="preserve">Lighting mast (14m): </t>
  </si>
  <si>
    <t xml:space="preserve">Take delivery,assemble, erect and bolt in position (LM2 &amp; LM3). </t>
  </si>
  <si>
    <t>Supply and bolt in position (LB1-LB4,LB9 &amp; LB10).</t>
  </si>
  <si>
    <t>Supply and bolt in position (LB5 - LB8).</t>
  </si>
  <si>
    <t>Bracket (Transformer Label):</t>
  </si>
  <si>
    <t>Removal of site establishment on completed of the contract (Inclusive of rehabilitation in accordance with EMP &amp; EA)</t>
  </si>
  <si>
    <t>On-going site Costs</t>
  </si>
  <si>
    <t>Cable trench cover (1500mm):</t>
  </si>
  <si>
    <t>Total C1</t>
  </si>
  <si>
    <t>Trenching (Earth Grid):</t>
  </si>
  <si>
    <t>Excavate and compact for main earth grid. (Provisional Amount)</t>
  </si>
  <si>
    <t>Yard Stone:</t>
  </si>
  <si>
    <t>Supply and install label brackets and labels.</t>
  </si>
  <si>
    <t xml:space="preserve">item </t>
  </si>
  <si>
    <t>Brackets, bolts/washers and (Palisade fence &amp; gates labels):</t>
  </si>
  <si>
    <t>Cable support bracket (medium equipment support 2,5m) :</t>
  </si>
  <si>
    <t>Isolators control arms(66kV):</t>
  </si>
  <si>
    <t>Take delivery, erect and bolt in position (SA10-SA15).</t>
  </si>
  <si>
    <t>Take delivery, erect and bolt in position (VT101) x 3</t>
  </si>
  <si>
    <t>Take delivery, install &amp; wire (LM1 &amp; LM2).</t>
  </si>
  <si>
    <t>Supply, install &amp; wire (LM4-LM6).</t>
  </si>
  <si>
    <t>NEC Transformer 1</t>
  </si>
  <si>
    <t>Remove Circuit breaker for reuse (existing TRFR 1).</t>
  </si>
  <si>
    <t>Remove Circuit breaker steel support(existing TRFR 1).</t>
  </si>
  <si>
    <t>Remove surge arrestor for scrap.(TRFR 1)</t>
  </si>
  <si>
    <t>Remove Voltage transformers for scrap.(TFR 1)</t>
  </si>
  <si>
    <t>Remove VT steel support for reuse.(TFR 1).</t>
  </si>
  <si>
    <t>Remove VT foundations, refill  &amp; compact .(TFR 1).</t>
  </si>
  <si>
    <t>Remove Current transformers for scrap.(TFR 1)</t>
  </si>
  <si>
    <t>Remove CT steel support for reuse.(TRFR 1).</t>
  </si>
  <si>
    <t>Remove CT foundations, refill  &amp; compact .(TRFR 1).</t>
  </si>
  <si>
    <t>Remove  Circuit breaker for scrap.(TRFR 1)</t>
  </si>
  <si>
    <t>Remove Circuit breaker steel support for reuse.(TRFR 1).</t>
  </si>
  <si>
    <t>Remove  Circuit breaker foundations, refill  &amp; compact .(TRFR 1).</t>
  </si>
  <si>
    <t>Remove  Line Isolator for scrap.(TRFR 1)</t>
  </si>
  <si>
    <t>Remove Line Isolator foundations, refill  &amp; compact .(TRFR 1).</t>
  </si>
  <si>
    <t>Remove  Cable Sealing End for scrap.(TRFR 1)</t>
  </si>
  <si>
    <t>Remove Cable Sealing End steel support for reuse.(TRFR 1).</t>
  </si>
  <si>
    <t>Remove Cable Sealing foundations, refill  &amp; compact .(TRFR 1).</t>
  </si>
  <si>
    <t>Take delivery and install Remote Access RASM complete:</t>
  </si>
  <si>
    <t>Take delivery and install Remote Access Module (Mario Box) complete:</t>
  </si>
  <si>
    <t>6.43.1</t>
  </si>
  <si>
    <t>Take delivery and install Battery Charger cabinets complete:</t>
  </si>
  <si>
    <t>6.44.1</t>
  </si>
  <si>
    <t>Take delivery and install Yard AC Chop-over/Outdoor Plug JB complete:</t>
  </si>
  <si>
    <t>6.45.1</t>
  </si>
  <si>
    <t>TOTAL C6</t>
  </si>
  <si>
    <t>Centipede conductor  (0 - 9m):</t>
  </si>
  <si>
    <t>Long Rod 66kV Strain Assembly (Bull conductor)</t>
  </si>
  <si>
    <t>Aluminium tubes (120mm OD x 10,5m 11kV Busbar):</t>
  </si>
  <si>
    <t>Take delivery, prepare and install in tubular busbars.</t>
  </si>
  <si>
    <t>Take delivery, prepare and install jumpers.</t>
  </si>
  <si>
    <t>Clamp (K/EX):</t>
  </si>
  <si>
    <t>Clamp (KC/EXC):</t>
  </si>
  <si>
    <t>Clamp (SPC/EPC):</t>
  </si>
  <si>
    <t>Clamp (KCP/EXCP):</t>
  </si>
  <si>
    <t>Clamp (TC/ETC):</t>
  </si>
  <si>
    <t>Clamp (Tubular plain end cap):</t>
  </si>
  <si>
    <t>Clamp (Tubular busbar end conductor cap):</t>
  </si>
  <si>
    <t>D-DT-0854 Rev 8</t>
  </si>
  <si>
    <t>22kV MV cable.</t>
  </si>
  <si>
    <t>8.1.1</t>
  </si>
  <si>
    <t>SET 8 SHT 1 &amp; 3</t>
  </si>
  <si>
    <t>Excavate and compact for MV Cable.</t>
  </si>
  <si>
    <t>22kV MV cable:</t>
  </si>
  <si>
    <t>8.2.1</t>
  </si>
  <si>
    <t>Supply and compact suitable backfill for MV Cable.</t>
  </si>
  <si>
    <t>Cable route marker:</t>
  </si>
  <si>
    <t>8.3.1</t>
  </si>
  <si>
    <t>Supply and install cable route marker.</t>
  </si>
  <si>
    <t>8.4.1</t>
  </si>
  <si>
    <t>Proj. Spec</t>
  </si>
  <si>
    <t>8.5.1</t>
  </si>
  <si>
    <t>Concrete MV cable cover:</t>
  </si>
  <si>
    <t>8.6.1</t>
  </si>
  <si>
    <t>Supply and Install cover complete.</t>
  </si>
  <si>
    <t>Remove excess cable trench soil:</t>
  </si>
  <si>
    <t>8.7.1</t>
  </si>
  <si>
    <t>Remove unsuitable soil from trench.</t>
  </si>
  <si>
    <t>m³</t>
  </si>
  <si>
    <t>Warning tape for MV cabling:</t>
  </si>
  <si>
    <t>8.8.1</t>
  </si>
  <si>
    <t>Supply and install  after cable installation.</t>
  </si>
  <si>
    <t>Cleats for cable sealing end complete:</t>
  </si>
  <si>
    <t>8.9.1</t>
  </si>
  <si>
    <t>Clamps Tubular:</t>
  </si>
  <si>
    <t>Aluminium tubes (120mm OD x 1,5m Cabling sealing end):</t>
  </si>
  <si>
    <t>Earth Transformer &amp; neutral (TRFR 2 &amp;TRFR 3) complete:</t>
  </si>
  <si>
    <t>Supply and bolt in position on cable sealing end (CSE101 - CSE102)</t>
  </si>
  <si>
    <t>Remove foundations, refill  &amp; compact.</t>
  </si>
  <si>
    <t xml:space="preserve">Medium Equipment support foundations    </t>
  </si>
  <si>
    <t>Control Building</t>
  </si>
  <si>
    <t>MV Cabling</t>
  </si>
  <si>
    <t>Labe Schedule</t>
  </si>
  <si>
    <t>C8</t>
  </si>
  <si>
    <t>Paving:</t>
  </si>
  <si>
    <t>Road crossing cable trench (6 Pipe):</t>
  </si>
  <si>
    <t>Supply, prepare and install 6 pipe cable trench, entrance &amp; covers (6m Pipe Lenght).</t>
  </si>
  <si>
    <t>1.18.1</t>
  </si>
  <si>
    <t>Sht 11 Rev 5</t>
  </si>
  <si>
    <t>Sht 04 Rev 5</t>
  </si>
  <si>
    <t xml:space="preserve">Take delivery, assemble, erect and bolt in position (CB1). </t>
  </si>
  <si>
    <t>Substation Layouts</t>
  </si>
  <si>
    <t>General Arrangement layout</t>
  </si>
  <si>
    <t>Trench and fence layout</t>
  </si>
  <si>
    <t>D-DT-5280-2A</t>
  </si>
  <si>
    <t>Control room Type 'A' Trench Cover Plan Layout and Section Details</t>
  </si>
  <si>
    <t>D-DT-5280-3A</t>
  </si>
  <si>
    <t>Control room Type 'A' Electrical Cabling, Trunking and Earthing Layout and Details</t>
  </si>
  <si>
    <t>D-DT-5281-1A</t>
  </si>
  <si>
    <t>Control room Type 'A' Section and details</t>
  </si>
  <si>
    <t>D-DT-5281-3C</t>
  </si>
  <si>
    <t>Control room doors, Windblok Schedule and Details</t>
  </si>
  <si>
    <t>D-DT-5281-5E</t>
  </si>
  <si>
    <t>Control room Toilet, Battery room and Septic Tank details</t>
  </si>
  <si>
    <t>Trenching 750/1500mm</t>
  </si>
  <si>
    <t>D-DT-5254-5A</t>
  </si>
  <si>
    <t>Trench 750mm Wide- Straight installation and sections</t>
  </si>
  <si>
    <t>D-DT-5254-5B</t>
  </si>
  <si>
    <t>Trench 1500mm Wide- Straight installation and sections</t>
  </si>
  <si>
    <t>D-DT-5254-5C</t>
  </si>
  <si>
    <t>Trench 750mm to 1500mm Wide- Straight installation and sections</t>
  </si>
  <si>
    <t>D-DT-5254-5D</t>
  </si>
  <si>
    <t>Trench 750mm Wide- 90 Degree Type A bend installation and sections</t>
  </si>
  <si>
    <t>D-DT-5254-5E</t>
  </si>
  <si>
    <t>Trench 750mm Wide- 90 Degree Type B bend installation and sections</t>
  </si>
  <si>
    <t>D-DT-5254-5G</t>
  </si>
  <si>
    <t>Trench 750mm 'T' type A to 750mm Wide- Straight installation and sections</t>
  </si>
  <si>
    <t>D-DT-5254-5I</t>
  </si>
  <si>
    <t>Trench 750mm  T to 1500mm Wide Straight installation and sections</t>
  </si>
  <si>
    <t>D-DT-5254-1A</t>
  </si>
  <si>
    <t xml:space="preserve">Trench Covers 750mm </t>
  </si>
  <si>
    <t>D-DT-5254-1B</t>
  </si>
  <si>
    <t>Trench Covers 1500mm</t>
  </si>
  <si>
    <t>D-DT-5254-2B</t>
  </si>
  <si>
    <t>Substation Road Kerbing 1000mm</t>
  </si>
  <si>
    <t>D-DT-5254-2C</t>
  </si>
  <si>
    <t>Substation Stone Kerbing 1000mm</t>
  </si>
  <si>
    <t>D-DT-5254-2A</t>
  </si>
  <si>
    <t xml:space="preserve">Substation Trench Kerbing 1000mm </t>
  </si>
  <si>
    <t>D-DT-5254-6A</t>
  </si>
  <si>
    <t>Substation Trench 750mm Trench cover support manufacturing details</t>
  </si>
  <si>
    <t>D-DT-5254-6B</t>
  </si>
  <si>
    <t>Substation Trench 1500mm Trench cover support manufacturing details</t>
  </si>
  <si>
    <t>D-DT-5226-2B</t>
  </si>
  <si>
    <t xml:space="preserve">Tubular busbar-22kV single tubular support steelwork manufacturing details &amp; assembly - 1,5m phase CRS </t>
  </si>
  <si>
    <t>D-DT-5205-2A</t>
  </si>
  <si>
    <t>Isolator STD-22kV Manual lattice support steelwork manuf det &amp; assembly</t>
  </si>
  <si>
    <t>Steelwork brackets</t>
  </si>
  <si>
    <t>D-EC-1783-02</t>
  </si>
  <si>
    <t>Cable support bracket mounted on medium equipment support</t>
  </si>
  <si>
    <t>Palisade Fence Label Brackets</t>
  </si>
  <si>
    <t>Phasing disc labels mounting bracket details</t>
  </si>
  <si>
    <t>0.54/1794</t>
  </si>
  <si>
    <t>Electrical Equipment Labels "L" mounitng bracket detail</t>
  </si>
  <si>
    <t>Electrical</t>
  </si>
  <si>
    <t>Standard lighting/lightning mast for substations (8m, 14m &amp; 21m) cable block details</t>
  </si>
  <si>
    <t>Labels</t>
  </si>
  <si>
    <t>D-DT-5022-1</t>
  </si>
  <si>
    <t>Sign-DCSS1 Battery room</t>
  </si>
  <si>
    <t>D-DT-5022-2</t>
  </si>
  <si>
    <t>Sign-DCSS2 Battery room</t>
  </si>
  <si>
    <t>D-DT-5022-3</t>
  </si>
  <si>
    <t>Sign-DCSS3 Battery room</t>
  </si>
  <si>
    <t>Specifications</t>
  </si>
  <si>
    <t>D-DT-5240-1</t>
  </si>
  <si>
    <t>Earthing standard general notes</t>
  </si>
  <si>
    <t>D-DT-5240-2</t>
  </si>
  <si>
    <t>Earthing standard copper joints</t>
  </si>
  <si>
    <t>D-DT-6072</t>
  </si>
  <si>
    <t>Specification: Sign ABC - unauthorized entry</t>
  </si>
  <si>
    <t>D-DT-6073</t>
  </si>
  <si>
    <t>Specification: Sign DE  first aid</t>
  </si>
  <si>
    <t>D-DT-6074</t>
  </si>
  <si>
    <t>Specification: Sign F  Prohibitive</t>
  </si>
  <si>
    <t>D-DT-6075</t>
  </si>
  <si>
    <t>Specification:  Sign G - hard hat area</t>
  </si>
  <si>
    <t>Label specifications -Informative and emergency signs</t>
  </si>
  <si>
    <t>D-DT-5240-25-1</t>
  </si>
  <si>
    <t>D-DT-5240-25-2</t>
  </si>
  <si>
    <t>Substation - Copper connections</t>
  </si>
  <si>
    <t>MV Power Cable Trench Details</t>
  </si>
  <si>
    <t>D-DT-0854-8-2</t>
  </si>
  <si>
    <t>D-DT-5213-2A</t>
  </si>
  <si>
    <t>MV Cable sealing end Lattice Support steelwork manuf det &amp; assembly</t>
  </si>
  <si>
    <t>D-EC-862-11-2</t>
  </si>
  <si>
    <t>D-EC-862-11-4</t>
  </si>
  <si>
    <t>D-EC-862-11-5</t>
  </si>
  <si>
    <t>D-EC-862-11-6</t>
  </si>
  <si>
    <t>D-EC-862-11-7</t>
  </si>
  <si>
    <t>D-EC-862-11-8</t>
  </si>
  <si>
    <t>Civil Works</t>
  </si>
  <si>
    <t>Relay room floor:</t>
  </si>
  <si>
    <t>Battery room door:</t>
  </si>
  <si>
    <t>Toilet:</t>
  </si>
  <si>
    <t>Supply and install all toilet accessories (Provisional).</t>
  </si>
  <si>
    <t>COC for electrical works:</t>
  </si>
  <si>
    <t>Provide COC for all electrical works.</t>
  </si>
  <si>
    <t>Battery room labels:</t>
  </si>
  <si>
    <t>Supply and install Battery room labels.</t>
  </si>
  <si>
    <t>Prepare and paint control room floor.</t>
  </si>
  <si>
    <t>Supply and install door complete.</t>
  </si>
  <si>
    <t>Battery room ceiling:</t>
  </si>
  <si>
    <t>Supply, repair and install ceiling complete.</t>
  </si>
  <si>
    <t>Toilet doors:</t>
  </si>
  <si>
    <t>Supply and install all toilet doors complete.</t>
  </si>
  <si>
    <t>Post insulators (132kV): TRFR 2 &amp; TRFR 3 Bays</t>
  </si>
  <si>
    <t>3.20</t>
  </si>
  <si>
    <t>Total C4</t>
  </si>
  <si>
    <t>Total C5</t>
  </si>
  <si>
    <t>8.10.1</t>
  </si>
  <si>
    <t>8.11.1</t>
  </si>
  <si>
    <t>8.12.1</t>
  </si>
  <si>
    <t>8.13.1</t>
  </si>
  <si>
    <t>8.14.1</t>
  </si>
  <si>
    <t>8.15.1</t>
  </si>
  <si>
    <t>8.16.1</t>
  </si>
  <si>
    <t>8.17.1</t>
  </si>
  <si>
    <t>Excavate existing 630mm XLPE cable (TRFR 1)</t>
  </si>
  <si>
    <r>
      <t>Remove  630mm</t>
    </r>
    <r>
      <rPr>
        <vertAlign val="superscript"/>
        <sz val="8"/>
        <rFont val="Times New Roman"/>
        <family val="1"/>
      </rPr>
      <t>2</t>
    </r>
    <r>
      <rPr>
        <sz val="8"/>
        <rFont val="Times New Roman"/>
        <family val="1"/>
      </rPr>
      <t xml:space="preserve"> XLPE cable complete with termintions .</t>
    </r>
  </si>
  <si>
    <t>Take delivery of 50 x 3mm flat copper, prepare and install:</t>
  </si>
  <si>
    <t>D-EC-862</t>
  </si>
  <si>
    <t>√</t>
  </si>
  <si>
    <t xml:space="preserve"> Sht11 Rev 5</t>
  </si>
  <si>
    <t>Supply and install (D4 -D9, D31-D36, D55 - D72)</t>
  </si>
  <si>
    <t>Supply and install (SA10 - SA15)</t>
  </si>
  <si>
    <t>Supply and install (CB1 &amp; CB2).</t>
  </si>
  <si>
    <t>Supply and install (IS5, IS6, IS9 &amp; IS10).</t>
  </si>
  <si>
    <t>Supply and install (CT1 - CT6 &amp; VT101 x 3).</t>
  </si>
  <si>
    <t>Supply and install (LB1-LB4,LB9 &amp; LB10).</t>
  </si>
  <si>
    <t>Sht 6 Rev 5</t>
  </si>
  <si>
    <t>Take delivery, erect and bolt in position (IS5, IS6, IS10 &amp; IS11).</t>
  </si>
  <si>
    <t>Take delivery, erect and bolt in position  (PI16 - PI21)</t>
  </si>
  <si>
    <t>Sht 7 Rev5</t>
  </si>
  <si>
    <t>3.21</t>
  </si>
  <si>
    <t>3.21.1</t>
  </si>
  <si>
    <t>Sht 8 Rev5</t>
  </si>
  <si>
    <t>Supply and Install on all three phases (6 ends).</t>
  </si>
  <si>
    <r>
      <t>Take delivery and lay MV XLPE 630mm</t>
    </r>
    <r>
      <rPr>
        <sz val="8"/>
        <rFont val="Arial"/>
        <family val="2"/>
      </rPr>
      <t>²</t>
    </r>
    <r>
      <rPr>
        <sz val="8"/>
        <rFont val="Times New Roman"/>
        <family val="1"/>
      </rPr>
      <t xml:space="preserve"> 1 core cable complete.</t>
    </r>
  </si>
  <si>
    <t>Outdoor heat shrink joint, earth leads &amp; lugs etc.(Cable term. end) for XLPE 630mm² 1 core cable:</t>
  </si>
  <si>
    <t>D-EC-2198-1</t>
  </si>
  <si>
    <t>Electrical Equipment phasing disc details</t>
  </si>
  <si>
    <t>D-EC-2199-1</t>
  </si>
  <si>
    <t>Electrical Equipment Label 600 x 245</t>
  </si>
  <si>
    <t>D-EC-2199-2</t>
  </si>
  <si>
    <t>Electrical Equipment Label 1000 x 245</t>
  </si>
  <si>
    <t>Supply and bolt in positions (CT1 - CT6 &amp; VT101).</t>
  </si>
  <si>
    <t>Sht 4 Rev5</t>
  </si>
  <si>
    <t>D-DT-4783-2</t>
  </si>
  <si>
    <t xml:space="preserve">Strain String Assembly 66kV 1 x Bull conductor </t>
  </si>
  <si>
    <t>D-DT-4783-5</t>
  </si>
  <si>
    <t xml:space="preserve">Suspension String Assembly 66kV 1 x Bull conductor </t>
  </si>
  <si>
    <t>D-DT-0854-8-4</t>
  </si>
  <si>
    <t xml:space="preserve">Long Rod 66kV Suspension Assembly </t>
  </si>
  <si>
    <t>Insulated Bull conductor  (0 - 8m):</t>
  </si>
  <si>
    <t xml:space="preserve">Take delivery, erect and bolt in position  (TB101- TB104)x3 </t>
  </si>
  <si>
    <t>Take down the existing damaed door complete.</t>
  </si>
  <si>
    <t>Stone kerbing</t>
  </si>
  <si>
    <t>Remove nonstandard stone kerbing to scrap</t>
  </si>
  <si>
    <t>D-DT-5254-3C</t>
  </si>
  <si>
    <t>Substation LV Cable road duct 6 pipe</t>
  </si>
  <si>
    <t>D-DT-5254-1C</t>
  </si>
  <si>
    <t>Cable covers MV</t>
  </si>
  <si>
    <t>Control building</t>
  </si>
  <si>
    <t>D0</t>
  </si>
  <si>
    <t>Medium equipment cap detail (M1):</t>
  </si>
  <si>
    <t>Medium equipment support (2,5m):</t>
  </si>
  <si>
    <t xml:space="preserve">Supply, assemble, erect and bolt in position (CT6). </t>
  </si>
  <si>
    <t xml:space="preserve">Supply, assemble, erect and bolt in position (Ct6). </t>
  </si>
  <si>
    <t>2.23</t>
  </si>
  <si>
    <t>2.23.1</t>
  </si>
  <si>
    <t>2.24</t>
  </si>
  <si>
    <t>2.24.1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</si>
</sst>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"/>
    <numFmt numFmtId="168" formatCode="&quot;R&quot;\ #,##0.00"/>
  </numFmts>
  <fonts count="55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b/>
      <i/>
      <sz val="10"/>
      <color indexed="10"/>
      <name val="Times New Roman"/>
      <family val="1"/>
    </font>
    <font>
      <b/>
      <i/>
      <sz val="10"/>
      <name val="Times New Roman"/>
      <family val="1"/>
    </font>
    <font>
      <sz val="8"/>
      <color indexed="10"/>
      <name val="Times New Roman"/>
      <family val="1"/>
    </font>
    <font>
      <b/>
      <sz val="8"/>
      <color indexed="10"/>
      <name val="Times New Roman"/>
      <family val="1"/>
    </font>
    <font>
      <b/>
      <i/>
      <sz val="12"/>
      <color indexed="12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vertAlign val="superscript"/>
      <sz val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color indexed="12"/>
      <name val="Times New Roman"/>
      <family val="1"/>
    </font>
    <font>
      <b/>
      <i/>
      <sz val="10"/>
      <color indexed="12"/>
      <name val="Times New Roman"/>
      <family val="1"/>
    </font>
    <font>
      <sz val="8"/>
      <color indexed="12"/>
      <name val="Times New Roman"/>
      <family val="1"/>
    </font>
    <font>
      <sz val="10"/>
      <color indexed="12"/>
      <name val="Times New Roman"/>
      <family val="1"/>
    </font>
    <font>
      <b/>
      <sz val="8"/>
      <color indexed="12"/>
      <name val="Times New Roman"/>
      <family val="1"/>
    </font>
    <font>
      <b/>
      <sz val="10"/>
      <color indexed="14"/>
      <name val="Times New Roman"/>
      <family val="1"/>
    </font>
    <font>
      <sz val="10"/>
      <color indexed="14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10"/>
      <name val="Arial"/>
      <family val="2"/>
    </font>
    <font>
      <b/>
      <i/>
      <sz val="14"/>
      <color indexed="10"/>
      <name val="Times New Roman"/>
      <family val="1"/>
    </font>
    <font>
      <sz val="10"/>
      <color indexed="10"/>
      <name val="Arial"/>
      <family val="2"/>
    </font>
    <font>
      <b/>
      <i/>
      <sz val="12"/>
      <color indexed="10"/>
      <name val="Times New Roman"/>
      <family val="1"/>
    </font>
    <font>
      <sz val="8"/>
      <color indexed="12"/>
      <name val="Arial"/>
      <family val="2"/>
    </font>
    <font>
      <sz val="8"/>
      <color indexed="12"/>
      <name val="Arial"/>
      <family val="2"/>
    </font>
    <font>
      <sz val="8"/>
      <color indexed="10"/>
      <name val="Arial"/>
      <family val="2"/>
    </font>
    <font>
      <sz val="8"/>
      <color indexed="10"/>
      <name val="Arial Narrow"/>
      <family val="2"/>
    </font>
    <font>
      <sz val="8"/>
      <color indexed="16"/>
      <name val="Times New Roman"/>
      <family val="1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3.8"/>
      <color rgb="FF22222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8"/>
      <name val="Times New Roman"/>
      <family val="1"/>
    </font>
    <font>
      <i/>
      <sz val="8"/>
      <name val="Times New Roman"/>
      <family val="1"/>
    </font>
    <font>
      <b/>
      <i/>
      <sz val="8"/>
      <name val="Times New Roman"/>
      <family val="1"/>
    </font>
    <font>
      <sz val="8"/>
      <color rgb="FFFF0000"/>
      <name val="Times New Roman"/>
      <family val="1"/>
    </font>
    <font>
      <sz val="8"/>
      <name val="Calibri"/>
      <family val="2"/>
    </font>
    <font>
      <b/>
      <i/>
      <sz val="10"/>
      <color indexed="12"/>
      <name val="Arial"/>
      <family val="2"/>
    </font>
    <font>
      <sz val="8"/>
      <color indexed="12"/>
      <name val="Calibri"/>
      <family val="2"/>
    </font>
    <font>
      <b/>
      <sz val="8"/>
      <color theme="5"/>
      <name val="Times New Roman"/>
      <family val="1"/>
    </font>
    <font>
      <sz val="8"/>
      <color theme="1"/>
      <name val="Times New Roman"/>
      <family val="1"/>
    </font>
    <font>
      <b/>
      <sz val="8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708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0" xfId="0" applyFont="1"/>
    <xf numFmtId="0" fontId="2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2" borderId="0" xfId="0" applyFont="1" applyFill="1"/>
    <xf numFmtId="0" fontId="0" fillId="2" borderId="0" xfId="0" applyFill="1"/>
    <xf numFmtId="0" fontId="11" fillId="3" borderId="0" xfId="0" applyFont="1" applyFill="1"/>
    <xf numFmtId="0" fontId="0" fillId="3" borderId="0" xfId="0" applyFill="1"/>
    <xf numFmtId="0" fontId="12" fillId="0" borderId="6" xfId="0" applyFont="1" applyBorder="1"/>
    <xf numFmtId="0" fontId="12" fillId="0" borderId="7" xfId="0" applyFont="1" applyBorder="1"/>
    <xf numFmtId="0" fontId="12" fillId="0" borderId="6" xfId="0" applyFont="1" applyBorder="1" applyAlignment="1">
      <alignment horizontal="right"/>
    </xf>
    <xf numFmtId="0" fontId="12" fillId="0" borderId="0" xfId="0" applyFont="1"/>
    <xf numFmtId="0" fontId="14" fillId="0" borderId="6" xfId="0" applyFont="1" applyBorder="1"/>
    <xf numFmtId="0" fontId="14" fillId="0" borderId="6" xfId="0" applyFont="1" applyBorder="1" applyAlignment="1">
      <alignment vertical="center"/>
    </xf>
    <xf numFmtId="0" fontId="14" fillId="0" borderId="0" xfId="0" applyFont="1"/>
    <xf numFmtId="0" fontId="15" fillId="0" borderId="6" xfId="0" applyFont="1" applyBorder="1"/>
    <xf numFmtId="166" fontId="15" fillId="0" borderId="6" xfId="1" applyFont="1" applyBorder="1" applyAlignment="1">
      <alignment horizontal="right" vertical="center"/>
    </xf>
    <xf numFmtId="166" fontId="15" fillId="2" borderId="6" xfId="1" applyFont="1" applyFill="1" applyBorder="1" applyAlignment="1">
      <alignment horizontal="right" vertical="center"/>
    </xf>
    <xf numFmtId="166" fontId="15" fillId="4" borderId="6" xfId="1" applyFont="1" applyFill="1" applyBorder="1" applyAlignment="1">
      <alignment horizontal="right" vertical="center"/>
    </xf>
    <xf numFmtId="0" fontId="15" fillId="0" borderId="0" xfId="0" applyFont="1"/>
    <xf numFmtId="0" fontId="15" fillId="4" borderId="6" xfId="0" applyFont="1" applyFill="1" applyBorder="1" applyAlignment="1">
      <alignment horizontal="right" vertic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vertical="top" wrapText="1"/>
    </xf>
    <xf numFmtId="0" fontId="15" fillId="0" borderId="0" xfId="0" applyFont="1" applyAlignment="1">
      <alignment vertical="top"/>
    </xf>
    <xf numFmtId="166" fontId="15" fillId="0" borderId="6" xfId="1" applyFont="1" applyBorder="1" applyAlignment="1">
      <alignment horizontal="right" vertical="center" wrapText="1"/>
    </xf>
    <xf numFmtId="166" fontId="15" fillId="2" borderId="6" xfId="1" applyFont="1" applyFill="1" applyBorder="1" applyAlignment="1">
      <alignment horizontal="right" vertical="center" wrapText="1"/>
    </xf>
    <xf numFmtId="0" fontId="15" fillId="0" borderId="0" xfId="0" applyFont="1" applyAlignment="1">
      <alignment vertical="top" wrapText="1"/>
    </xf>
    <xf numFmtId="166" fontId="16" fillId="4" borderId="6" xfId="1" applyFont="1" applyFill="1" applyBorder="1" applyAlignment="1">
      <alignment horizontal="right" vertical="center" wrapText="1"/>
    </xf>
    <xf numFmtId="166" fontId="15" fillId="0" borderId="8" xfId="1" applyFont="1" applyBorder="1" applyAlignment="1">
      <alignment horizontal="center" vertical="center"/>
    </xf>
    <xf numFmtId="166" fontId="1" fillId="0" borderId="9" xfId="1" applyBorder="1" applyAlignment="1">
      <alignment horizontal="center" vertical="center"/>
    </xf>
    <xf numFmtId="166" fontId="15" fillId="0" borderId="6" xfId="1" applyFont="1" applyFill="1" applyBorder="1" applyAlignment="1">
      <alignment horizontal="right" vertical="center" wrapText="1"/>
    </xf>
    <xf numFmtId="166" fontId="15" fillId="0" borderId="6" xfId="1" applyFont="1" applyFill="1" applyBorder="1" applyAlignment="1">
      <alignment horizontal="right" vertical="center"/>
    </xf>
    <xf numFmtId="166" fontId="16" fillId="0" borderId="6" xfId="1" applyFont="1" applyFill="1" applyBorder="1" applyAlignment="1">
      <alignment horizontal="right" vertical="center" wrapText="1"/>
    </xf>
    <xf numFmtId="166" fontId="14" fillId="0" borderId="6" xfId="1" applyFont="1" applyBorder="1" applyAlignment="1">
      <alignment horizontal="center" vertical="center" wrapText="1"/>
    </xf>
    <xf numFmtId="166" fontId="15" fillId="3" borderId="6" xfId="1" applyFont="1" applyFill="1" applyBorder="1" applyAlignment="1">
      <alignment horizontal="right" vertical="center" wrapText="1"/>
    </xf>
    <xf numFmtId="0" fontId="14" fillId="0" borderId="6" xfId="0" applyFont="1" applyBorder="1" applyAlignment="1">
      <alignment vertical="top" wrapText="1"/>
    </xf>
    <xf numFmtId="166" fontId="15" fillId="2" borderId="6" xfId="1" applyFont="1" applyFill="1" applyBorder="1" applyAlignment="1">
      <alignment vertical="center"/>
    </xf>
    <xf numFmtId="166" fontId="15" fillId="2" borderId="0" xfId="1" applyFont="1" applyFill="1"/>
    <xf numFmtId="166" fontId="15" fillId="5" borderId="6" xfId="1" applyFont="1" applyFill="1" applyBorder="1" applyAlignment="1">
      <alignment horizontal="right" vertical="center"/>
    </xf>
    <xf numFmtId="166" fontId="14" fillId="0" borderId="6" xfId="1" applyFont="1" applyBorder="1" applyAlignment="1">
      <alignment horizontal="center" vertical="top" wrapText="1"/>
    </xf>
    <xf numFmtId="166" fontId="15" fillId="0" borderId="6" xfId="1" applyFont="1" applyBorder="1"/>
    <xf numFmtId="166" fontId="14" fillId="0" borderId="6" xfId="1" applyFont="1" applyBorder="1" applyAlignment="1">
      <alignment horizontal="right" vertical="center"/>
    </xf>
    <xf numFmtId="166" fontId="14" fillId="2" borderId="6" xfId="1" applyFont="1" applyFill="1" applyBorder="1" applyAlignment="1">
      <alignment horizontal="right" vertical="center"/>
    </xf>
    <xf numFmtId="166" fontId="15" fillId="0" borderId="0" xfId="1" applyFont="1"/>
    <xf numFmtId="0" fontId="15" fillId="0" borderId="6" xfId="0" applyFont="1" applyBorder="1" applyAlignment="1">
      <alignment wrapText="1"/>
    </xf>
    <xf numFmtId="0" fontId="15" fillId="0" borderId="6" xfId="0" applyFont="1" applyBorder="1" applyAlignment="1">
      <alignment horizontal="right" vertical="center"/>
    </xf>
    <xf numFmtId="0" fontId="15" fillId="2" borderId="6" xfId="0" applyFont="1" applyFill="1" applyBorder="1" applyAlignment="1">
      <alignment horizontal="right" vertical="center"/>
    </xf>
    <xf numFmtId="2" fontId="15" fillId="2" borderId="6" xfId="0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/>
    <xf numFmtId="0" fontId="15" fillId="0" borderId="6" xfId="0" applyFont="1" applyBorder="1" applyAlignment="1">
      <alignment horizontal="right"/>
    </xf>
    <xf numFmtId="0" fontId="15" fillId="2" borderId="6" xfId="0" applyFont="1" applyFill="1" applyBorder="1" applyAlignment="1">
      <alignment horizontal="right"/>
    </xf>
    <xf numFmtId="0" fontId="15" fillId="4" borderId="6" xfId="0" applyFont="1" applyFill="1" applyBorder="1" applyAlignment="1">
      <alignment horizontal="right"/>
    </xf>
    <xf numFmtId="2" fontId="15" fillId="2" borderId="6" xfId="0" applyNumberFormat="1" applyFont="1" applyFill="1" applyBorder="1" applyAlignment="1">
      <alignment horizontal="right"/>
    </xf>
    <xf numFmtId="2" fontId="15" fillId="0" borderId="6" xfId="0" applyNumberFormat="1" applyFont="1" applyBorder="1" applyAlignment="1">
      <alignment horizontal="right"/>
    </xf>
    <xf numFmtId="2" fontId="15" fillId="2" borderId="6" xfId="0" applyNumberFormat="1" applyFont="1" applyFill="1" applyBorder="1"/>
    <xf numFmtId="165" fontId="15" fillId="0" borderId="0" xfId="2" applyFont="1"/>
    <xf numFmtId="166" fontId="15" fillId="0" borderId="6" xfId="1" applyFont="1" applyBorder="1" applyAlignment="1">
      <alignment horizontal="center" vertical="center" wrapText="1"/>
    </xf>
    <xf numFmtId="43" fontId="15" fillId="0" borderId="10" xfId="1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1" fontId="3" fillId="0" borderId="14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3" fillId="0" borderId="12" xfId="0" applyFont="1" applyBorder="1" applyAlignment="1">
      <alignment horizontal="left" vertical="center"/>
    </xf>
    <xf numFmtId="1" fontId="23" fillId="0" borderId="12" xfId="0" applyNumberFormat="1" applyFont="1" applyBorder="1" applyAlignment="1">
      <alignment horizontal="left" vertical="center"/>
    </xf>
    <xf numFmtId="0" fontId="23" fillId="0" borderId="12" xfId="0" applyFont="1" applyBorder="1" applyAlignment="1">
      <alignment vertical="center"/>
    </xf>
    <xf numFmtId="0" fontId="23" fillId="0" borderId="11" xfId="0" applyFont="1" applyBorder="1" applyAlignment="1">
      <alignment horizontal="left" vertical="center"/>
    </xf>
    <xf numFmtId="1" fontId="23" fillId="0" borderId="11" xfId="0" applyNumberFormat="1" applyFont="1" applyBorder="1" applyAlignment="1">
      <alignment horizontal="left" vertical="center"/>
    </xf>
    <xf numFmtId="0" fontId="23" fillId="0" borderId="11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1" fontId="23" fillId="0" borderId="12" xfId="0" quotePrefix="1" applyNumberFormat="1" applyFont="1" applyBorder="1" applyAlignment="1">
      <alignment horizontal="left" vertical="center"/>
    </xf>
    <xf numFmtId="1" fontId="23" fillId="0" borderId="11" xfId="0" quotePrefix="1" applyNumberFormat="1" applyFont="1" applyBorder="1" applyAlignment="1">
      <alignment horizontal="left" vertical="center"/>
    </xf>
    <xf numFmtId="0" fontId="23" fillId="0" borderId="12" xfId="0" quotePrefix="1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23" fillId="0" borderId="11" xfId="0" applyNumberFormat="1" applyFont="1" applyBorder="1" applyAlignment="1">
      <alignment horizontal="right" vertical="center"/>
    </xf>
    <xf numFmtId="0" fontId="24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/>
    </xf>
    <xf numFmtId="0" fontId="23" fillId="0" borderId="11" xfId="1" applyNumberFormat="1" applyFont="1" applyBorder="1" applyAlignment="1">
      <alignment horizontal="right" vertical="center"/>
    </xf>
    <xf numFmtId="0" fontId="24" fillId="0" borderId="0" xfId="0" applyNumberFormat="1" applyFont="1" applyBorder="1" applyAlignment="1">
      <alignment horizontal="right" vertical="center"/>
    </xf>
    <xf numFmtId="0" fontId="25" fillId="0" borderId="13" xfId="0" applyFont="1" applyBorder="1" applyAlignment="1">
      <alignment horizontal="right" vertical="center"/>
    </xf>
    <xf numFmtId="0" fontId="25" fillId="0" borderId="12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5" fillId="0" borderId="11" xfId="0" applyFont="1" applyBorder="1" applyAlignment="1">
      <alignment horizontal="right" vertic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top"/>
    </xf>
    <xf numFmtId="0" fontId="26" fillId="0" borderId="16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left" vertical="center" wrapText="1" indent="1"/>
    </xf>
    <xf numFmtId="0" fontId="24" fillId="0" borderId="16" xfId="0" applyFont="1" applyBorder="1" applyAlignment="1">
      <alignment horizontal="left" vertical="center" indent="1"/>
    </xf>
    <xf numFmtId="0" fontId="27" fillId="0" borderId="17" xfId="0" applyFont="1" applyBorder="1" applyAlignment="1">
      <alignment horizontal="left" vertical="center" wrapText="1" indent="1"/>
    </xf>
    <xf numFmtId="0" fontId="27" fillId="0" borderId="17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 indent="1"/>
    </xf>
    <xf numFmtId="0" fontId="27" fillId="0" borderId="18" xfId="0" applyFont="1" applyBorder="1" applyAlignment="1">
      <alignment horizontal="left" vertical="center" indent="1"/>
    </xf>
    <xf numFmtId="0" fontId="27" fillId="0" borderId="19" xfId="0" applyFont="1" applyBorder="1" applyAlignment="1">
      <alignment horizontal="left" vertical="center" wrapText="1" indent="1"/>
    </xf>
    <xf numFmtId="0" fontId="27" fillId="0" borderId="19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" fontId="8" fillId="0" borderId="12" xfId="0" applyNumberFormat="1" applyFont="1" applyBorder="1" applyAlignment="1">
      <alignment horizontal="left" vertical="center" indent="1"/>
    </xf>
    <xf numFmtId="1" fontId="8" fillId="0" borderId="12" xfId="0" quotePrefix="1" applyNumberFormat="1" applyFont="1" applyBorder="1" applyAlignment="1">
      <alignment horizontal="left" vertical="center" indent="1"/>
    </xf>
    <xf numFmtId="0" fontId="3" fillId="0" borderId="0" xfId="0" applyFont="1" applyFill="1"/>
    <xf numFmtId="0" fontId="23" fillId="0" borderId="20" xfId="0" quotePrefix="1" applyFont="1" applyBorder="1" applyAlignment="1">
      <alignment horizontal="center"/>
    </xf>
    <xf numFmtId="0" fontId="23" fillId="0" borderId="21" xfId="0" quotePrefix="1" applyFont="1" applyBorder="1" applyAlignment="1">
      <alignment horizontal="center"/>
    </xf>
    <xf numFmtId="0" fontId="23" fillId="0" borderId="21" xfId="0" quotePrefix="1" applyFont="1" applyBorder="1" applyAlignment="1">
      <alignment horizontal="center" vertical="center"/>
    </xf>
    <xf numFmtId="0" fontId="23" fillId="0" borderId="16" xfId="0" quotePrefix="1" applyFont="1" applyBorder="1" applyAlignment="1">
      <alignment horizontal="center" vertical="center"/>
    </xf>
    <xf numFmtId="0" fontId="23" fillId="0" borderId="21" xfId="0" applyFont="1" applyBorder="1" applyAlignment="1">
      <alignment horizontal="left" vertical="center"/>
    </xf>
    <xf numFmtId="0" fontId="23" fillId="0" borderId="17" xfId="0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0" fillId="0" borderId="22" xfId="0" applyFont="1" applyBorder="1" applyAlignment="1"/>
    <xf numFmtId="0" fontId="20" fillId="0" borderId="23" xfId="0" applyFont="1" applyBorder="1" applyAlignment="1"/>
    <xf numFmtId="0" fontId="23" fillId="0" borderId="20" xfId="0" quotePrefix="1" applyFont="1" applyFill="1" applyBorder="1" applyAlignment="1" applyProtection="1">
      <alignment horizontal="center"/>
    </xf>
    <xf numFmtId="0" fontId="23" fillId="0" borderId="17" xfId="0" quotePrefix="1" applyFont="1" applyFill="1" applyBorder="1" applyAlignment="1" applyProtection="1">
      <alignment horizontal="center"/>
    </xf>
    <xf numFmtId="0" fontId="21" fillId="0" borderId="1" xfId="0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3" fillId="0" borderId="12" xfId="0" quotePrefix="1" applyFont="1" applyBorder="1" applyAlignment="1">
      <alignment horizontal="left" vertical="center" indent="1"/>
    </xf>
    <xf numFmtId="0" fontId="23" fillId="0" borderId="11" xfId="0" quotePrefix="1" applyFont="1" applyBorder="1" applyAlignment="1">
      <alignment horizontal="left" vertical="center" indent="1"/>
    </xf>
    <xf numFmtId="0" fontId="23" fillId="0" borderId="21" xfId="0" applyFont="1" applyFill="1" applyBorder="1" applyAlignment="1" applyProtection="1">
      <alignment horizontal="left"/>
    </xf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6" borderId="0" xfId="0" applyFont="1" applyFill="1" applyBorder="1" applyAlignment="1">
      <alignment horizontal="right" vertical="top" wrapText="1"/>
    </xf>
    <xf numFmtId="164" fontId="5" fillId="6" borderId="0" xfId="0" applyNumberFormat="1" applyFont="1" applyFill="1" applyBorder="1" applyAlignment="1">
      <alignment horizontal="right" vertical="top" wrapText="1"/>
    </xf>
    <xf numFmtId="164" fontId="5" fillId="6" borderId="25" xfId="0" applyNumberFormat="1" applyFont="1" applyFill="1" applyBorder="1" applyAlignment="1">
      <alignment horizontal="right" vertical="top"/>
    </xf>
    <xf numFmtId="0" fontId="5" fillId="6" borderId="2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/>
    </xf>
    <xf numFmtId="164" fontId="5" fillId="6" borderId="27" xfId="0" applyNumberFormat="1" applyFont="1" applyFill="1" applyBorder="1" applyAlignment="1">
      <alignment horizontal="center" vertical="center"/>
    </xf>
    <xf numFmtId="164" fontId="5" fillId="6" borderId="28" xfId="0" applyNumberFormat="1" applyFont="1" applyFill="1" applyBorder="1" applyAlignment="1">
      <alignment horizontal="center" vertical="center" wrapText="1"/>
    </xf>
    <xf numFmtId="164" fontId="24" fillId="6" borderId="20" xfId="0" applyNumberFormat="1" applyFont="1" applyFill="1" applyBorder="1" applyAlignment="1">
      <alignment horizontal="left" vertical="center"/>
    </xf>
    <xf numFmtId="164" fontId="24" fillId="6" borderId="17" xfId="0" applyNumberFormat="1" applyFont="1" applyFill="1" applyBorder="1" applyAlignment="1">
      <alignment horizontal="left" vertical="center"/>
    </xf>
    <xf numFmtId="164" fontId="27" fillId="6" borderId="17" xfId="0" applyNumberFormat="1" applyFont="1" applyFill="1" applyBorder="1" applyAlignment="1">
      <alignment horizontal="center" vertical="center"/>
    </xf>
    <xf numFmtId="164" fontId="27" fillId="6" borderId="20" xfId="0" applyNumberFormat="1" applyFont="1" applyFill="1" applyBorder="1" applyAlignment="1">
      <alignment horizontal="left" vertical="center"/>
    </xf>
    <xf numFmtId="164" fontId="27" fillId="6" borderId="19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2" fillId="0" borderId="29" xfId="0" applyFont="1" applyBorder="1"/>
    <xf numFmtId="0" fontId="2" fillId="0" borderId="13" xfId="0" applyFont="1" applyBorder="1"/>
    <xf numFmtId="0" fontId="21" fillId="6" borderId="14" xfId="0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1" fontId="23" fillId="0" borderId="12" xfId="0" quotePrefix="1" applyNumberFormat="1" applyFont="1" applyBorder="1" applyAlignment="1">
      <alignment horizontal="center" vertical="center"/>
    </xf>
    <xf numFmtId="1" fontId="23" fillId="0" borderId="11" xfId="0" quotePrefix="1" applyNumberFormat="1" applyFont="1" applyBorder="1" applyAlignment="1">
      <alignment horizontal="center" vertical="center"/>
    </xf>
    <xf numFmtId="0" fontId="2" fillId="0" borderId="0" xfId="0" applyFont="1" applyFill="1"/>
    <xf numFmtId="0" fontId="22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3" fillId="0" borderId="22" xfId="0" applyFont="1" applyBorder="1" applyAlignment="1">
      <alignment horizontal="center"/>
    </xf>
    <xf numFmtId="0" fontId="23" fillId="0" borderId="17" xfId="0" applyFont="1" applyBorder="1" applyAlignment="1"/>
    <xf numFmtId="0" fontId="23" fillId="0" borderId="21" xfId="0" applyFont="1" applyBorder="1" applyAlignment="1"/>
    <xf numFmtId="0" fontId="23" fillId="0" borderId="21" xfId="0" applyFont="1" applyBorder="1" applyAlignment="1">
      <alignment horizontal="center"/>
    </xf>
    <xf numFmtId="0" fontId="23" fillId="0" borderId="20" xfId="0" quotePrefix="1" applyFont="1" applyBorder="1" applyAlignment="1" applyProtection="1">
      <alignment horizontal="center"/>
      <protection locked="0"/>
    </xf>
    <xf numFmtId="0" fontId="23" fillId="0" borderId="16" xfId="0" applyFont="1" applyBorder="1" applyAlignment="1" applyProtection="1">
      <alignment horizontal="center" vertical="center"/>
      <protection locked="0"/>
    </xf>
    <xf numFmtId="0" fontId="23" fillId="0" borderId="17" xfId="0" applyFont="1" applyBorder="1" applyAlignment="1" applyProtection="1">
      <alignment horizontal="center"/>
      <protection locked="0"/>
    </xf>
    <xf numFmtId="0" fontId="23" fillId="0" borderId="17" xfId="0" applyFont="1" applyBorder="1" applyAlignment="1" applyProtection="1">
      <alignment horizontal="left"/>
      <protection locked="0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1" xfId="0" applyFont="1" applyBorder="1" applyAlignment="1" applyProtection="1">
      <alignment horizontal="center"/>
      <protection locked="0"/>
    </xf>
    <xf numFmtId="0" fontId="23" fillId="0" borderId="17" xfId="0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23" fillId="0" borderId="22" xfId="0" applyFont="1" applyBorder="1" applyAlignment="1"/>
    <xf numFmtId="0" fontId="23" fillId="0" borderId="23" xfId="0" applyFont="1" applyBorder="1" applyAlignment="1"/>
    <xf numFmtId="0" fontId="23" fillId="0" borderId="22" xfId="0" quotePrefix="1" applyFont="1" applyBorder="1" applyAlignment="1">
      <alignment horizontal="center"/>
    </xf>
    <xf numFmtId="0" fontId="23" fillId="0" borderId="17" xfId="0" applyFont="1" applyBorder="1"/>
    <xf numFmtId="0" fontId="23" fillId="0" borderId="21" xfId="0" applyFont="1" applyBorder="1"/>
    <xf numFmtId="0" fontId="23" fillId="0" borderId="17" xfId="0" quotePrefix="1" applyFont="1" applyBorder="1" applyAlignment="1">
      <alignment horizontal="center"/>
    </xf>
    <xf numFmtId="0" fontId="23" fillId="0" borderId="17" xfId="0" applyFont="1" applyBorder="1" applyAlignment="1">
      <alignment horizontal="left"/>
    </xf>
    <xf numFmtId="0" fontId="23" fillId="0" borderId="30" xfId="0" applyFont="1" applyBorder="1" applyAlignment="1">
      <alignment horizontal="left"/>
    </xf>
    <xf numFmtId="0" fontId="23" fillId="0" borderId="30" xfId="0" applyFont="1" applyBorder="1" applyAlignment="1">
      <alignment horizontal="center"/>
    </xf>
    <xf numFmtId="0" fontId="23" fillId="0" borderId="31" xfId="0" quotePrefix="1" applyFont="1" applyBorder="1" applyAlignment="1">
      <alignment horizontal="center"/>
    </xf>
    <xf numFmtId="0" fontId="23" fillId="0" borderId="17" xfId="0" quotePrefix="1" applyFont="1" applyBorder="1" applyAlignment="1" applyProtection="1">
      <alignment horizontal="center"/>
      <protection locked="0"/>
    </xf>
    <xf numFmtId="0" fontId="23" fillId="0" borderId="30" xfId="0" applyFont="1" applyBorder="1" applyAlignment="1" applyProtection="1">
      <alignment horizontal="left"/>
      <protection locked="0"/>
    </xf>
    <xf numFmtId="0" fontId="23" fillId="0" borderId="30" xfId="0" applyFont="1" applyBorder="1" applyAlignment="1" applyProtection="1">
      <alignment horizontal="center"/>
      <protection locked="0"/>
    </xf>
    <xf numFmtId="0" fontId="23" fillId="0" borderId="30" xfId="0" applyFont="1" applyBorder="1"/>
    <xf numFmtId="0" fontId="23" fillId="0" borderId="30" xfId="0" quotePrefix="1" applyFont="1" applyBorder="1" applyAlignment="1">
      <alignment horizontal="center"/>
    </xf>
    <xf numFmtId="0" fontId="23" fillId="0" borderId="30" xfId="0" applyFont="1" applyBorder="1" applyAlignment="1"/>
    <xf numFmtId="0" fontId="23" fillId="0" borderId="16" xfId="0" applyFont="1" applyFill="1" applyBorder="1" applyAlignment="1">
      <alignment horizontal="center"/>
    </xf>
    <xf numFmtId="0" fontId="23" fillId="0" borderId="17" xfId="0" applyFont="1" applyFill="1" applyBorder="1" applyAlignment="1" applyProtection="1">
      <alignment horizontal="left"/>
    </xf>
    <xf numFmtId="0" fontId="20" fillId="0" borderId="17" xfId="0" applyFont="1" applyBorder="1" applyAlignment="1"/>
    <xf numFmtId="0" fontId="23" fillId="0" borderId="17" xfId="0" applyFont="1" applyBorder="1" applyAlignment="1" applyProtection="1">
      <alignment horizontal="center" vertical="center"/>
    </xf>
    <xf numFmtId="0" fontId="20" fillId="0" borderId="17" xfId="0" applyFont="1" applyBorder="1" applyAlignment="1">
      <alignment horizontal="center"/>
    </xf>
    <xf numFmtId="0" fontId="33" fillId="0" borderId="20" xfId="0" quotePrefix="1" applyFont="1" applyFill="1" applyBorder="1" applyAlignment="1" applyProtection="1">
      <alignment horizontal="center"/>
    </xf>
    <xf numFmtId="0" fontId="23" fillId="0" borderId="17" xfId="0" applyFont="1" applyBorder="1" applyAlignment="1" applyProtection="1">
      <alignment horizontal="left"/>
    </xf>
    <xf numFmtId="0" fontId="23" fillId="0" borderId="21" xfId="0" quotePrefix="1" applyFont="1" applyBorder="1" applyAlignment="1" applyProtection="1">
      <alignment horizontal="left"/>
    </xf>
    <xf numFmtId="0" fontId="20" fillId="0" borderId="22" xfId="0" applyFont="1" applyBorder="1" applyAlignment="1">
      <alignment horizontal="center"/>
    </xf>
    <xf numFmtId="0" fontId="33" fillId="0" borderId="32" xfId="0" quotePrefix="1" applyFont="1" applyBorder="1" applyAlignment="1" applyProtection="1">
      <alignment horizontal="center"/>
    </xf>
    <xf numFmtId="0" fontId="23" fillId="0" borderId="16" xfId="0" quotePrefix="1" applyFont="1" applyFill="1" applyBorder="1" applyAlignment="1">
      <alignment horizontal="center"/>
    </xf>
    <xf numFmtId="0" fontId="23" fillId="0" borderId="21" xfId="0" applyFont="1" applyBorder="1" applyAlignment="1" applyProtection="1"/>
    <xf numFmtId="0" fontId="23" fillId="0" borderId="17" xfId="0" quotePrefix="1" applyFont="1" applyBorder="1" applyAlignment="1" applyProtection="1">
      <alignment horizontal="center" vertical="center"/>
    </xf>
    <xf numFmtId="0" fontId="34" fillId="0" borderId="17" xfId="0" applyFont="1" applyBorder="1" applyAlignment="1" applyProtection="1">
      <alignment horizontal="left"/>
      <protection locked="0"/>
    </xf>
    <xf numFmtId="0" fontId="23" fillId="0" borderId="17" xfId="0" quotePrefix="1" applyFont="1" applyBorder="1" applyAlignment="1" applyProtection="1">
      <alignment horizontal="center" shrinkToFit="1"/>
      <protection locked="0"/>
    </xf>
    <xf numFmtId="0" fontId="20" fillId="0" borderId="17" xfId="0" applyFont="1" applyBorder="1"/>
    <xf numFmtId="0" fontId="34" fillId="0" borderId="17" xfId="0" quotePrefix="1" applyFont="1" applyBorder="1" applyAlignment="1" applyProtection="1">
      <alignment horizontal="left"/>
    </xf>
    <xf numFmtId="0" fontId="23" fillId="0" borderId="17" xfId="0" quotePrefix="1" applyFont="1" applyBorder="1" applyAlignment="1" applyProtection="1">
      <alignment horizontal="center" vertical="center" shrinkToFit="1"/>
    </xf>
    <xf numFmtId="0" fontId="23" fillId="0" borderId="17" xfId="0" quotePrefix="1" applyFont="1" applyBorder="1" applyAlignment="1" applyProtection="1">
      <alignment horizontal="left"/>
    </xf>
    <xf numFmtId="0" fontId="34" fillId="0" borderId="17" xfId="0" applyFont="1" applyBorder="1" applyAlignment="1">
      <alignment horizontal="center"/>
    </xf>
    <xf numFmtId="0" fontId="23" fillId="0" borderId="17" xfId="0" quotePrefix="1" applyFont="1" applyBorder="1" applyAlignment="1" applyProtection="1">
      <alignment horizontal="center" shrinkToFit="1"/>
    </xf>
    <xf numFmtId="0" fontId="23" fillId="0" borderId="17" xfId="0" quotePrefix="1" applyFont="1" applyFill="1" applyBorder="1" applyAlignment="1" applyProtection="1">
      <alignment horizontal="center" vertical="center" shrinkToFit="1"/>
    </xf>
    <xf numFmtId="0" fontId="23" fillId="0" borderId="21" xfId="0" applyFont="1" applyBorder="1" applyAlignment="1" applyProtection="1">
      <alignment horizontal="left"/>
    </xf>
    <xf numFmtId="0" fontId="23" fillId="0" borderId="17" xfId="0" applyFont="1" applyBorder="1" applyAlignment="1" applyProtection="1">
      <alignment horizontal="center" vertical="center" shrinkToFit="1"/>
    </xf>
    <xf numFmtId="0" fontId="23" fillId="0" borderId="23" xfId="0" applyFont="1" applyBorder="1" applyAlignment="1" applyProtection="1">
      <alignment horizontal="center"/>
    </xf>
    <xf numFmtId="167" fontId="23" fillId="0" borderId="22" xfId="0" applyNumberFormat="1" applyFont="1" applyBorder="1" applyAlignment="1" applyProtection="1">
      <alignment horizontal="center"/>
    </xf>
    <xf numFmtId="0" fontId="34" fillId="0" borderId="32" xfId="0" quotePrefix="1" applyFont="1" applyBorder="1" applyAlignment="1">
      <alignment horizontal="center"/>
    </xf>
    <xf numFmtId="0" fontId="23" fillId="0" borderId="23" xfId="0" applyFont="1" applyBorder="1" applyAlignment="1" applyProtection="1">
      <alignment horizontal="center"/>
      <protection locked="0"/>
    </xf>
    <xf numFmtId="167" fontId="23" fillId="0" borderId="22" xfId="0" applyNumberFormat="1" applyFont="1" applyBorder="1" applyAlignment="1" applyProtection="1">
      <alignment horizontal="center"/>
      <protection locked="0"/>
    </xf>
    <xf numFmtId="0" fontId="23" fillId="0" borderId="23" xfId="0" applyFont="1" applyFill="1" applyBorder="1" applyAlignment="1" applyProtection="1">
      <alignment horizontal="left"/>
    </xf>
    <xf numFmtId="0" fontId="23" fillId="0" borderId="22" xfId="0" applyFont="1" applyFill="1" applyBorder="1" applyAlignment="1" applyProtection="1">
      <alignment horizontal="left"/>
    </xf>
    <xf numFmtId="0" fontId="20" fillId="0" borderId="21" xfId="0" applyFont="1" applyBorder="1" applyAlignment="1"/>
    <xf numFmtId="0" fontId="8" fillId="0" borderId="1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8" fillId="0" borderId="21" xfId="0" applyFont="1" applyBorder="1" applyAlignment="1" applyProtection="1">
      <alignment horizontal="left" vertical="center"/>
      <protection locked="0"/>
    </xf>
    <xf numFmtId="0" fontId="8" fillId="0" borderId="21" xfId="0" quotePrefix="1" applyFont="1" applyBorder="1" applyAlignment="1">
      <alignment horizontal="center"/>
    </xf>
    <xf numFmtId="0" fontId="8" fillId="0" borderId="20" xfId="0" quotePrefix="1" applyFont="1" applyBorder="1" applyAlignment="1">
      <alignment horizontal="center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8" fillId="0" borderId="16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30" xfId="0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horizontal="left" vertical="center"/>
    </xf>
    <xf numFmtId="0" fontId="8" fillId="0" borderId="16" xfId="0" applyFont="1" applyFill="1" applyBorder="1" applyAlignment="1">
      <alignment horizontal="center"/>
    </xf>
    <xf numFmtId="0" fontId="8" fillId="0" borderId="21" xfId="0" applyFont="1" applyBorder="1" applyAlignment="1" applyProtection="1">
      <alignment horizontal="left"/>
    </xf>
    <xf numFmtId="0" fontId="8" fillId="0" borderId="23" xfId="0" applyFont="1" applyBorder="1" applyAlignment="1"/>
    <xf numFmtId="0" fontId="8" fillId="0" borderId="17" xfId="0" applyFont="1" applyBorder="1" applyAlignment="1" applyProtection="1">
      <alignment horizontal="left"/>
    </xf>
    <xf numFmtId="0" fontId="36" fillId="0" borderId="17" xfId="0" quotePrefix="1" applyFont="1" applyBorder="1" applyAlignment="1" applyProtection="1">
      <alignment horizontal="center"/>
    </xf>
    <xf numFmtId="0" fontId="31" fillId="0" borderId="17" xfId="0" applyFont="1" applyBorder="1" applyAlignment="1">
      <alignment horizontal="center"/>
    </xf>
    <xf numFmtId="0" fontId="16" fillId="0" borderId="20" xfId="0" quotePrefix="1" applyFont="1" applyBorder="1" applyAlignment="1" applyProtection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1" xfId="0" quotePrefix="1" applyFont="1" applyBorder="1" applyAlignment="1" applyProtection="1">
      <alignment horizontal="center"/>
    </xf>
    <xf numFmtId="0" fontId="8" fillId="0" borderId="16" xfId="0" applyFont="1" applyBorder="1" applyAlignment="1">
      <alignment horizontal="center"/>
    </xf>
    <xf numFmtId="0" fontId="35" fillId="0" borderId="21" xfId="0" applyFont="1" applyBorder="1" applyAlignment="1"/>
    <xf numFmtId="0" fontId="35" fillId="0" borderId="22" xfId="0" applyFont="1" applyBorder="1" applyAlignment="1"/>
    <xf numFmtId="0" fontId="35" fillId="0" borderId="17" xfId="0" applyFont="1" applyBorder="1"/>
    <xf numFmtId="0" fontId="8" fillId="0" borderId="17" xfId="0" applyFont="1" applyBorder="1" applyAlignment="1">
      <alignment horizontal="center"/>
    </xf>
    <xf numFmtId="0" fontId="8" fillId="0" borderId="20" xfId="0" quotePrefix="1" applyFont="1" applyBorder="1" applyAlignment="1" applyProtection="1">
      <alignment horizontal="center"/>
    </xf>
    <xf numFmtId="0" fontId="8" fillId="0" borderId="34" xfId="0" applyFont="1" applyBorder="1" applyAlignment="1" applyProtection="1">
      <alignment horizontal="left"/>
    </xf>
    <xf numFmtId="0" fontId="35" fillId="0" borderId="34" xfId="0" applyFont="1" applyBorder="1" applyAlignment="1"/>
    <xf numFmtId="0" fontId="31" fillId="0" borderId="23" xfId="0" applyFont="1" applyBorder="1" applyAlignment="1">
      <alignment horizontal="left"/>
    </xf>
    <xf numFmtId="0" fontId="23" fillId="0" borderId="23" xfId="0" quotePrefix="1" applyFont="1" applyBorder="1" applyAlignment="1" applyProtection="1">
      <alignment horizontal="center"/>
    </xf>
    <xf numFmtId="0" fontId="23" fillId="0" borderId="23" xfId="0" quotePrefix="1" applyFont="1" applyBorder="1" applyAlignment="1" applyProtection="1">
      <alignment horizontal="center" vertical="center" shrinkToFit="1"/>
    </xf>
    <xf numFmtId="0" fontId="20" fillId="0" borderId="22" xfId="0" applyFont="1" applyBorder="1"/>
    <xf numFmtId="0" fontId="23" fillId="0" borderId="32" xfId="0" quotePrefix="1" applyFont="1" applyFill="1" applyBorder="1" applyAlignment="1" applyProtection="1">
      <alignment horizontal="center"/>
    </xf>
    <xf numFmtId="0" fontId="23" fillId="0" borderId="23" xfId="0" quotePrefix="1" applyFont="1" applyBorder="1" applyAlignment="1" applyProtection="1">
      <alignment horizontal="center" shrinkToFit="1"/>
      <protection locked="0"/>
    </xf>
    <xf numFmtId="0" fontId="23" fillId="0" borderId="23" xfId="0" quotePrefix="1" applyFont="1" applyBorder="1" applyAlignment="1" applyProtection="1">
      <alignment horizontal="left"/>
    </xf>
    <xf numFmtId="0" fontId="23" fillId="0" borderId="22" xfId="0" quotePrefix="1" applyFont="1" applyBorder="1" applyAlignment="1" applyProtection="1">
      <alignment horizontal="left"/>
    </xf>
    <xf numFmtId="0" fontId="23" fillId="0" borderId="20" xfId="0" quotePrefix="1" applyFont="1" applyBorder="1" applyAlignment="1" applyProtection="1">
      <alignment horizontal="center"/>
    </xf>
    <xf numFmtId="0" fontId="23" fillId="0" borderId="23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34" fillId="0" borderId="17" xfId="0" applyFont="1" applyBorder="1"/>
    <xf numFmtId="0" fontId="23" fillId="0" borderId="23" xfId="0" applyFont="1" applyBorder="1" applyAlignment="1">
      <alignment horizontal="center"/>
    </xf>
    <xf numFmtId="0" fontId="23" fillId="0" borderId="32" xfId="0" quotePrefix="1" applyFont="1" applyBorder="1" applyAlignment="1" applyProtection="1">
      <alignment horizontal="center"/>
    </xf>
    <xf numFmtId="0" fontId="21" fillId="6" borderId="7" xfId="0" applyFont="1" applyFill="1" applyBorder="1" applyAlignment="1">
      <alignment horizontal="center"/>
    </xf>
    <xf numFmtId="0" fontId="21" fillId="6" borderId="25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indent="1"/>
    </xf>
    <xf numFmtId="1" fontId="3" fillId="0" borderId="12" xfId="0" applyNumberFormat="1" applyFont="1" applyBorder="1" applyAlignment="1">
      <alignment horizontal="left" vertical="center" indent="1"/>
    </xf>
    <xf numFmtId="1" fontId="3" fillId="0" borderId="35" xfId="0" applyNumberFormat="1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2" xfId="0" quotePrefix="1" applyFont="1" applyBorder="1" applyAlignment="1">
      <alignment horizontal="left" vertical="center" inden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quotePrefix="1" applyFont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1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vertical="center"/>
    </xf>
    <xf numFmtId="0" fontId="21" fillId="0" borderId="25" xfId="0" applyFont="1" applyBorder="1" applyAlignment="1">
      <alignment horizontal="left" vertical="center" indent="1"/>
    </xf>
    <xf numFmtId="0" fontId="3" fillId="0" borderId="12" xfId="0" applyFont="1" applyBorder="1" applyAlignment="1">
      <alignment vertical="center"/>
    </xf>
    <xf numFmtId="1" fontId="3" fillId="0" borderId="11" xfId="0" quotePrefix="1" applyNumberFormat="1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left" vertical="center" indent="1"/>
    </xf>
    <xf numFmtId="0" fontId="3" fillId="0" borderId="11" xfId="0" applyFont="1" applyBorder="1" applyAlignment="1">
      <alignment vertical="center"/>
    </xf>
    <xf numFmtId="0" fontId="21" fillId="6" borderId="6" xfId="0" applyFont="1" applyFill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12" xfId="0" quotePrefix="1" applyNumberFormat="1" applyFont="1" applyBorder="1" applyAlignment="1">
      <alignment horizontal="left" vertical="center"/>
    </xf>
    <xf numFmtId="1" fontId="3" fillId="0" borderId="11" xfId="0" quotePrefix="1" applyNumberFormat="1" applyFont="1" applyBorder="1" applyAlignment="1">
      <alignment horizontal="left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left" vertical="center" indent="1"/>
    </xf>
    <xf numFmtId="0" fontId="3" fillId="0" borderId="36" xfId="0" applyFont="1" applyBorder="1" applyAlignment="1">
      <alignment horizontal="left" vertical="center" indent="1"/>
    </xf>
    <xf numFmtId="1" fontId="3" fillId="0" borderId="12" xfId="0" applyNumberFormat="1" applyFont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1" fillId="6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vertical="center"/>
    </xf>
    <xf numFmtId="1" fontId="3" fillId="0" borderId="14" xfId="0" quotePrefix="1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1" fontId="3" fillId="0" borderId="12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" fontId="3" fillId="0" borderId="12" xfId="0" quotePrefix="1" applyNumberFormat="1" applyFont="1" applyBorder="1" applyAlignment="1">
      <alignment horizontal="left" vertical="center" indent="1"/>
    </xf>
    <xf numFmtId="1" fontId="3" fillId="0" borderId="12" xfId="0" applyNumberFormat="1" applyFont="1" applyFill="1" applyBorder="1" applyAlignment="1">
      <alignment horizontal="left" vertical="center" indent="1"/>
    </xf>
    <xf numFmtId="1" fontId="3" fillId="0" borderId="11" xfId="0" applyNumberFormat="1" applyFont="1" applyFill="1" applyBorder="1" applyAlignment="1">
      <alignment horizontal="left" vertical="center" indent="1"/>
    </xf>
    <xf numFmtId="0" fontId="4" fillId="0" borderId="11" xfId="0" applyFont="1" applyBorder="1" applyAlignment="1">
      <alignment vertical="center"/>
    </xf>
    <xf numFmtId="166" fontId="3" fillId="0" borderId="11" xfId="1" applyFont="1" applyBorder="1" applyAlignment="1">
      <alignment vertical="center"/>
    </xf>
    <xf numFmtId="1" fontId="8" fillId="0" borderId="12" xfId="0" quotePrefix="1" applyNumberFormat="1" applyFont="1" applyBorder="1" applyAlignment="1">
      <alignment horizontal="left" vertical="center"/>
    </xf>
    <xf numFmtId="1" fontId="3" fillId="0" borderId="40" xfId="0" applyNumberFormat="1" applyFont="1" applyBorder="1" applyAlignment="1">
      <alignment horizontal="left" vertical="center" indent="1"/>
    </xf>
    <xf numFmtId="0" fontId="3" fillId="0" borderId="41" xfId="0" applyFont="1" applyFill="1" applyBorder="1" applyAlignment="1">
      <alignment horizontal="left" vertical="center" indent="1"/>
    </xf>
    <xf numFmtId="0" fontId="3" fillId="0" borderId="3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indent="1"/>
    </xf>
    <xf numFmtId="0" fontId="8" fillId="0" borderId="11" xfId="0" applyFont="1" applyBorder="1" applyAlignment="1">
      <alignment horizontal="left" vertical="center" indent="1"/>
    </xf>
    <xf numFmtId="1" fontId="8" fillId="0" borderId="11" xfId="0" applyNumberFormat="1" applyFont="1" applyBorder="1" applyAlignment="1">
      <alignment horizontal="left" vertical="center" indent="1"/>
    </xf>
    <xf numFmtId="1" fontId="8" fillId="0" borderId="40" xfId="0" applyNumberFormat="1" applyFont="1" applyBorder="1" applyAlignment="1">
      <alignment horizontal="left" vertical="center" indent="1"/>
    </xf>
    <xf numFmtId="1" fontId="8" fillId="0" borderId="11" xfId="0" quotePrefix="1" applyNumberFormat="1" applyFont="1" applyBorder="1" applyAlignment="1">
      <alignment horizontal="left" vertical="center" indent="1"/>
    </xf>
    <xf numFmtId="1" fontId="8" fillId="0" borderId="12" xfId="0" applyNumberFormat="1" applyFont="1" applyFill="1" applyBorder="1" applyAlignment="1">
      <alignment horizontal="left" vertical="center" indent="1"/>
    </xf>
    <xf numFmtId="1" fontId="8" fillId="0" borderId="11" xfId="0" applyNumberFormat="1" applyFont="1" applyFill="1" applyBorder="1" applyAlignment="1">
      <alignment horizontal="left" vertical="center" indent="1"/>
    </xf>
    <xf numFmtId="1" fontId="8" fillId="0" borderId="11" xfId="0" quotePrefix="1" applyNumberFormat="1" applyFont="1" applyBorder="1" applyAlignment="1">
      <alignment horizontal="left" vertical="center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>
      <alignment horizontal="left" vertical="center" indent="1"/>
    </xf>
    <xf numFmtId="1" fontId="3" fillId="0" borderId="12" xfId="0" quotePrefix="1" applyNumberFormat="1" applyFont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right" vertical="center"/>
    </xf>
    <xf numFmtId="164" fontId="3" fillId="0" borderId="11" xfId="1" applyNumberFormat="1" applyFont="1" applyBorder="1" applyAlignment="1">
      <alignment vertical="center"/>
    </xf>
    <xf numFmtId="0" fontId="25" fillId="0" borderId="13" xfId="0" applyFont="1" applyBorder="1" applyAlignment="1">
      <alignment horizontal="right" vertical="center" indent="1"/>
    </xf>
    <xf numFmtId="1" fontId="23" fillId="0" borderId="12" xfId="0" applyNumberFormat="1" applyFont="1" applyFill="1" applyBorder="1" applyAlignment="1">
      <alignment horizontal="left" vertical="center" indent="1"/>
    </xf>
    <xf numFmtId="1" fontId="23" fillId="0" borderId="12" xfId="0" quotePrefix="1" applyNumberFormat="1" applyFont="1" applyBorder="1" applyAlignment="1">
      <alignment horizontal="left" vertical="center" indent="1"/>
    </xf>
    <xf numFmtId="1" fontId="23" fillId="0" borderId="12" xfId="0" applyNumberFormat="1" applyFont="1" applyBorder="1" applyAlignment="1">
      <alignment horizontal="left" vertical="center" indent="1"/>
    </xf>
    <xf numFmtId="1" fontId="23" fillId="0" borderId="11" xfId="0" applyNumberFormat="1" applyFont="1" applyFill="1" applyBorder="1" applyAlignment="1">
      <alignment horizontal="left" vertical="center" indent="1"/>
    </xf>
    <xf numFmtId="1" fontId="23" fillId="0" borderId="12" xfId="0" applyNumberFormat="1" applyFont="1" applyFill="1" applyBorder="1" applyAlignment="1">
      <alignment horizontal="center" vertical="center"/>
    </xf>
    <xf numFmtId="1" fontId="23" fillId="0" borderId="35" xfId="0" applyNumberFormat="1" applyFont="1" applyFill="1" applyBorder="1" applyAlignment="1">
      <alignment horizontal="center" vertical="center"/>
    </xf>
    <xf numFmtId="1" fontId="23" fillId="0" borderId="11" xfId="0" applyNumberFormat="1" applyFont="1" applyBorder="1" applyAlignment="1">
      <alignment horizontal="left" vertical="center" indent="1"/>
    </xf>
    <xf numFmtId="1" fontId="23" fillId="0" borderId="40" xfId="0" applyNumberFormat="1" applyFont="1" applyBorder="1" applyAlignment="1">
      <alignment horizontal="left" vertical="center" indent="1"/>
    </xf>
    <xf numFmtId="1" fontId="23" fillId="0" borderId="11" xfId="0" quotePrefix="1" applyNumberFormat="1" applyFont="1" applyBorder="1" applyAlignment="1">
      <alignment horizontal="left" vertical="center" indent="1"/>
    </xf>
    <xf numFmtId="0" fontId="3" fillId="7" borderId="12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41" fillId="0" borderId="0" xfId="0" applyFont="1"/>
    <xf numFmtId="0" fontId="3" fillId="7" borderId="11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left" vertical="center" indent="1"/>
    </xf>
    <xf numFmtId="0" fontId="3" fillId="7" borderId="12" xfId="0" applyFont="1" applyFill="1" applyBorder="1" applyAlignment="1">
      <alignment horizontal="left" vertical="center" indent="1"/>
    </xf>
    <xf numFmtId="0" fontId="2" fillId="7" borderId="0" xfId="0" applyFont="1" applyFill="1" applyBorder="1" applyAlignment="1">
      <alignment horizontal="left" vertical="center"/>
    </xf>
    <xf numFmtId="0" fontId="3" fillId="7" borderId="12" xfId="0" applyFont="1" applyFill="1" applyBorder="1" applyAlignment="1">
      <alignment vertical="center"/>
    </xf>
    <xf numFmtId="1" fontId="3" fillId="0" borderId="36" xfId="0" applyNumberFormat="1" applyFont="1" applyBorder="1" applyAlignment="1">
      <alignment horizontal="left" vertical="center" indent="1"/>
    </xf>
    <xf numFmtId="1" fontId="3" fillId="0" borderId="11" xfId="0" applyNumberFormat="1" applyFont="1" applyBorder="1" applyAlignment="1">
      <alignment horizontal="left" vertical="center"/>
    </xf>
    <xf numFmtId="0" fontId="0" fillId="0" borderId="0" xfId="0" applyNumberFormat="1"/>
    <xf numFmtId="0" fontId="0" fillId="0" borderId="0" xfId="0" applyAlignment="1">
      <alignment horizontal="center"/>
    </xf>
    <xf numFmtId="168" fontId="0" fillId="0" borderId="0" xfId="0" applyNumberFormat="1"/>
    <xf numFmtId="0" fontId="12" fillId="8" borderId="60" xfId="0" applyNumberFormat="1" applyFont="1" applyFill="1" applyBorder="1" applyAlignment="1">
      <alignment horizontal="center" vertical="center" wrapText="1"/>
    </xf>
    <xf numFmtId="0" fontId="12" fillId="8" borderId="58" xfId="0" applyFont="1" applyFill="1" applyBorder="1" applyAlignment="1">
      <alignment horizontal="center" vertical="center" wrapText="1"/>
    </xf>
    <xf numFmtId="0" fontId="12" fillId="8" borderId="60" xfId="0" applyFont="1" applyFill="1" applyBorder="1" applyAlignment="1">
      <alignment horizontal="center" vertical="center" wrapText="1"/>
    </xf>
    <xf numFmtId="168" fontId="12" fillId="8" borderId="59" xfId="0" applyNumberFormat="1" applyFont="1" applyFill="1" applyBorder="1" applyAlignment="1">
      <alignment horizontal="center" vertical="center" wrapText="1"/>
    </xf>
    <xf numFmtId="0" fontId="12" fillId="0" borderId="61" xfId="0" applyNumberFormat="1" applyFont="1" applyBorder="1" applyAlignment="1">
      <alignment horizontal="left"/>
    </xf>
    <xf numFmtId="0" fontId="12" fillId="0" borderId="62" xfId="0" applyFont="1" applyBorder="1"/>
    <xf numFmtId="0" fontId="12" fillId="0" borderId="61" xfId="0" applyFont="1" applyBorder="1" applyAlignment="1">
      <alignment horizontal="left"/>
    </xf>
    <xf numFmtId="0" fontId="12" fillId="0" borderId="62" xfId="0" applyFont="1" applyBorder="1" applyAlignment="1">
      <alignment horizontal="center"/>
    </xf>
    <xf numFmtId="0" fontId="12" fillId="0" borderId="61" xfId="0" applyFont="1" applyBorder="1" applyAlignment="1">
      <alignment horizontal="center"/>
    </xf>
    <xf numFmtId="168" fontId="12" fillId="0" borderId="63" xfId="0" applyNumberFormat="1" applyFont="1" applyBorder="1"/>
    <xf numFmtId="0" fontId="43" fillId="0" borderId="64" xfId="0" applyNumberFormat="1" applyFont="1" applyBorder="1" applyAlignment="1">
      <alignment horizontal="left"/>
    </xf>
    <xf numFmtId="0" fontId="43" fillId="0" borderId="65" xfId="0" applyFont="1" applyBorder="1"/>
    <xf numFmtId="0" fontId="43" fillId="0" borderId="64" xfId="0" applyFont="1" applyBorder="1"/>
    <xf numFmtId="0" fontId="43" fillId="0" borderId="65" xfId="0" applyFont="1" applyBorder="1" applyAlignment="1">
      <alignment horizontal="center"/>
    </xf>
    <xf numFmtId="0" fontId="43" fillId="0" borderId="64" xfId="0" applyFont="1" applyBorder="1" applyAlignment="1">
      <alignment horizontal="center"/>
    </xf>
    <xf numFmtId="168" fontId="43" fillId="0" borderId="66" xfId="0" applyNumberFormat="1" applyFont="1" applyBorder="1"/>
    <xf numFmtId="2" fontId="43" fillId="0" borderId="67" xfId="0" applyNumberFormat="1" applyFont="1" applyBorder="1" applyAlignment="1">
      <alignment horizontal="left"/>
    </xf>
    <xf numFmtId="0" fontId="43" fillId="0" borderId="68" xfId="0" applyFont="1" applyBorder="1"/>
    <xf numFmtId="0" fontId="43" fillId="0" borderId="67" xfId="0" applyFont="1" applyBorder="1"/>
    <xf numFmtId="0" fontId="43" fillId="0" borderId="68" xfId="0" applyFont="1" applyBorder="1" applyAlignment="1">
      <alignment horizontal="center"/>
    </xf>
    <xf numFmtId="1" fontId="43" fillId="0" borderId="67" xfId="0" applyNumberFormat="1" applyFont="1" applyBorder="1" applyAlignment="1">
      <alignment horizontal="center"/>
    </xf>
    <xf numFmtId="0" fontId="43" fillId="0" borderId="67" xfId="0" applyFont="1" applyBorder="1" applyAlignment="1">
      <alignment horizontal="center"/>
    </xf>
    <xf numFmtId="168" fontId="43" fillId="0" borderId="69" xfId="0" applyNumberFormat="1" applyFont="1" applyBorder="1"/>
    <xf numFmtId="0" fontId="43" fillId="0" borderId="67" xfId="0" applyNumberFormat="1" applyFont="1" applyBorder="1" applyAlignment="1">
      <alignment horizontal="left"/>
    </xf>
    <xf numFmtId="0" fontId="43" fillId="0" borderId="70" xfId="0" applyNumberFormat="1" applyFont="1" applyBorder="1" applyAlignment="1">
      <alignment horizontal="left"/>
    </xf>
    <xf numFmtId="0" fontId="43" fillId="0" borderId="7" xfId="0" applyFont="1" applyBorder="1"/>
    <xf numFmtId="0" fontId="43" fillId="0" borderId="7" xfId="0" applyFont="1" applyBorder="1" applyAlignment="1">
      <alignment horizontal="center"/>
    </xf>
    <xf numFmtId="0" fontId="43" fillId="0" borderId="70" xfId="0" applyFont="1" applyBorder="1" applyAlignment="1">
      <alignment horizontal="center"/>
    </xf>
    <xf numFmtId="168" fontId="43" fillId="0" borderId="71" xfId="0" applyNumberFormat="1" applyFont="1" applyBorder="1"/>
    <xf numFmtId="2" fontId="43" fillId="0" borderId="72" xfId="0" applyNumberFormat="1" applyFont="1" applyBorder="1" applyAlignment="1">
      <alignment horizontal="left"/>
    </xf>
    <xf numFmtId="0" fontId="43" fillId="0" borderId="25" xfId="0" applyFont="1" applyBorder="1"/>
    <xf numFmtId="0" fontId="43" fillId="0" borderId="72" xfId="0" applyFont="1" applyBorder="1"/>
    <xf numFmtId="0" fontId="43" fillId="0" borderId="25" xfId="0" applyFont="1" applyBorder="1" applyAlignment="1">
      <alignment horizontal="center"/>
    </xf>
    <xf numFmtId="0" fontId="43" fillId="0" borderId="72" xfId="0" applyFont="1" applyBorder="1" applyAlignment="1">
      <alignment horizontal="center"/>
    </xf>
    <xf numFmtId="168" fontId="43" fillId="0" borderId="73" xfId="0" applyNumberFormat="1" applyFont="1" applyBorder="1"/>
    <xf numFmtId="2" fontId="43" fillId="0" borderId="70" xfId="0" applyNumberFormat="1" applyFont="1" applyBorder="1" applyAlignment="1">
      <alignment horizontal="left"/>
    </xf>
    <xf numFmtId="0" fontId="43" fillId="0" borderId="70" xfId="0" applyFont="1" applyBorder="1"/>
    <xf numFmtId="1" fontId="43" fillId="0" borderId="70" xfId="0" applyNumberFormat="1" applyFont="1" applyBorder="1" applyAlignment="1">
      <alignment horizontal="center"/>
    </xf>
    <xf numFmtId="2" fontId="43" fillId="0" borderId="64" xfId="0" applyNumberFormat="1" applyFont="1" applyBorder="1" applyAlignment="1">
      <alignment horizontal="left"/>
    </xf>
    <xf numFmtId="0" fontId="44" fillId="0" borderId="67" xfId="0" applyFont="1" applyBorder="1" applyAlignment="1">
      <alignment horizontal="right"/>
    </xf>
    <xf numFmtId="0" fontId="3" fillId="7" borderId="12" xfId="0" applyFont="1" applyFill="1" applyBorder="1" applyAlignment="1">
      <alignment horizontal="right" vertical="center"/>
    </xf>
    <xf numFmtId="1" fontId="3" fillId="7" borderId="12" xfId="0" applyNumberFormat="1" applyFont="1" applyFill="1" applyBorder="1" applyAlignment="1">
      <alignment horizontal="left" vertical="center" indent="1"/>
    </xf>
    <xf numFmtId="1" fontId="3" fillId="7" borderId="11" xfId="0" applyNumberFormat="1" applyFont="1" applyFill="1" applyBorder="1" applyAlignment="1">
      <alignment horizontal="left" vertical="center" indent="1"/>
    </xf>
    <xf numFmtId="0" fontId="8" fillId="7" borderId="12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21" fillId="0" borderId="25" xfId="0" applyFont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1" fontId="3" fillId="7" borderId="12" xfId="0" applyNumberFormat="1" applyFont="1" applyFill="1" applyBorder="1" applyAlignment="1">
      <alignment vertical="center"/>
    </xf>
    <xf numFmtId="0" fontId="3" fillId="7" borderId="12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1" fontId="3" fillId="7" borderId="36" xfId="0" applyNumberFormat="1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left" vertical="center"/>
    </xf>
    <xf numFmtId="0" fontId="3" fillId="7" borderId="16" xfId="0" applyFont="1" applyFill="1" applyBorder="1" applyAlignment="1">
      <alignment horizontal="left" vertical="center" indent="1"/>
    </xf>
    <xf numFmtId="0" fontId="3" fillId="9" borderId="12" xfId="0" applyFont="1" applyFill="1" applyBorder="1" applyAlignment="1">
      <alignment vertical="center"/>
    </xf>
    <xf numFmtId="0" fontId="8" fillId="9" borderId="12" xfId="0" applyFont="1" applyFill="1" applyBorder="1" applyAlignment="1">
      <alignment vertical="center"/>
    </xf>
    <xf numFmtId="0" fontId="9" fillId="9" borderId="11" xfId="0" applyFont="1" applyFill="1" applyBorder="1" applyAlignment="1">
      <alignment vertical="center"/>
    </xf>
    <xf numFmtId="0" fontId="15" fillId="9" borderId="11" xfId="0" applyFont="1" applyFill="1" applyBorder="1" applyAlignment="1">
      <alignment vertical="center"/>
    </xf>
    <xf numFmtId="166" fontId="3" fillId="9" borderId="11" xfId="1" applyFont="1" applyFill="1" applyBorder="1" applyAlignment="1">
      <alignment vertical="center"/>
    </xf>
    <xf numFmtId="0" fontId="15" fillId="9" borderId="12" xfId="0" applyFont="1" applyFill="1" applyBorder="1" applyAlignment="1">
      <alignment vertical="center"/>
    </xf>
    <xf numFmtId="0" fontId="3" fillId="7" borderId="12" xfId="0" quotePrefix="1" applyFont="1" applyFill="1" applyBorder="1" applyAlignment="1">
      <alignment horizontal="left" vertical="center" indent="1"/>
    </xf>
    <xf numFmtId="0" fontId="3" fillId="7" borderId="11" xfId="0" quotePrefix="1" applyFont="1" applyFill="1" applyBorder="1" applyAlignment="1">
      <alignment horizontal="left" vertical="center" indent="1"/>
    </xf>
    <xf numFmtId="1" fontId="3" fillId="7" borderId="35" xfId="0" applyNumberFormat="1" applyFont="1" applyFill="1" applyBorder="1" applyAlignment="1">
      <alignment horizontal="left" vertical="center" indent="1"/>
    </xf>
    <xf numFmtId="0" fontId="3" fillId="7" borderId="2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vertical="center"/>
    </xf>
    <xf numFmtId="0" fontId="9" fillId="7" borderId="11" xfId="0" applyFont="1" applyFill="1" applyBorder="1" applyAlignment="1">
      <alignment vertical="center"/>
    </xf>
    <xf numFmtId="0" fontId="46" fillId="7" borderId="12" xfId="0" applyFont="1" applyFill="1" applyBorder="1" applyAlignment="1">
      <alignment vertical="center"/>
    </xf>
    <xf numFmtId="1" fontId="8" fillId="7" borderId="12" xfId="0" quotePrefix="1" applyNumberFormat="1" applyFont="1" applyFill="1" applyBorder="1" applyAlignment="1">
      <alignment horizontal="left" vertical="center"/>
    </xf>
    <xf numFmtId="1" fontId="8" fillId="7" borderId="11" xfId="0" quotePrefix="1" applyNumberFormat="1" applyFont="1" applyFill="1" applyBorder="1" applyAlignment="1">
      <alignment horizontal="left" vertical="center"/>
    </xf>
    <xf numFmtId="0" fontId="9" fillId="7" borderId="12" xfId="0" applyFont="1" applyFill="1" applyBorder="1" applyAlignment="1">
      <alignment vertical="center"/>
    </xf>
    <xf numFmtId="1" fontId="8" fillId="7" borderId="12" xfId="0" applyNumberFormat="1" applyFont="1" applyFill="1" applyBorder="1" applyAlignment="1">
      <alignment horizontal="left" vertical="center" indent="1"/>
    </xf>
    <xf numFmtId="1" fontId="8" fillId="7" borderId="11" xfId="0" applyNumberFormat="1" applyFont="1" applyFill="1" applyBorder="1" applyAlignment="1">
      <alignment horizontal="left" vertical="center" indent="1"/>
    </xf>
    <xf numFmtId="1" fontId="3" fillId="7" borderId="12" xfId="0" quotePrefix="1" applyNumberFormat="1" applyFont="1" applyFill="1" applyBorder="1" applyAlignment="1">
      <alignment horizontal="left" vertical="center" indent="1"/>
    </xf>
    <xf numFmtId="1" fontId="3" fillId="7" borderId="11" xfId="0" quotePrefix="1" applyNumberFormat="1" applyFont="1" applyFill="1" applyBorder="1" applyAlignment="1">
      <alignment horizontal="left" vertical="center" indent="1"/>
    </xf>
    <xf numFmtId="1" fontId="3" fillId="7" borderId="12" xfId="0" applyNumberFormat="1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horizontal="center" vertical="center"/>
    </xf>
    <xf numFmtId="0" fontId="23" fillId="7" borderId="12" xfId="0" applyFont="1" applyFill="1" applyBorder="1" applyAlignment="1">
      <alignment vertical="center"/>
    </xf>
    <xf numFmtId="1" fontId="8" fillId="7" borderId="35" xfId="0" applyNumberFormat="1" applyFont="1" applyFill="1" applyBorder="1" applyAlignment="1">
      <alignment horizontal="left" vertical="center" indent="1"/>
    </xf>
    <xf numFmtId="0" fontId="23" fillId="7" borderId="11" xfId="0" applyFont="1" applyFill="1" applyBorder="1" applyAlignment="1">
      <alignment horizontal="center" vertical="center"/>
    </xf>
    <xf numFmtId="166" fontId="3" fillId="7" borderId="11" xfId="1" applyFont="1" applyFill="1" applyBorder="1" applyAlignment="1">
      <alignment vertical="center"/>
    </xf>
    <xf numFmtId="164" fontId="3" fillId="7" borderId="11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vertical="center"/>
    </xf>
    <xf numFmtId="0" fontId="4" fillId="7" borderId="11" xfId="0" applyFont="1" applyFill="1" applyBorder="1" applyAlignment="1">
      <alignment vertical="center"/>
    </xf>
    <xf numFmtId="164" fontId="3" fillId="7" borderId="11" xfId="1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indent="1"/>
    </xf>
    <xf numFmtId="1" fontId="37" fillId="7" borderId="12" xfId="0" quotePrefix="1" applyNumberFormat="1" applyFont="1" applyFill="1" applyBorder="1" applyAlignment="1">
      <alignment horizontal="left" vertical="center"/>
    </xf>
    <xf numFmtId="1" fontId="37" fillId="7" borderId="11" xfId="0" quotePrefix="1" applyNumberFormat="1" applyFont="1" applyFill="1" applyBorder="1" applyAlignment="1">
      <alignment horizontal="left" vertical="center"/>
    </xf>
    <xf numFmtId="0" fontId="15" fillId="7" borderId="11" xfId="0" applyFont="1" applyFill="1" applyBorder="1" applyAlignment="1">
      <alignment vertical="center"/>
    </xf>
    <xf numFmtId="164" fontId="15" fillId="7" borderId="11" xfId="0" applyNumberFormat="1" applyFont="1" applyFill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" fontId="37" fillId="7" borderId="12" xfId="0" applyNumberFormat="1" applyFont="1" applyFill="1" applyBorder="1" applyAlignment="1">
      <alignment horizontal="left" vertical="center" indent="1"/>
    </xf>
    <xf numFmtId="1" fontId="37" fillId="7" borderId="11" xfId="0" applyNumberFormat="1" applyFont="1" applyFill="1" applyBorder="1" applyAlignment="1">
      <alignment horizontal="left" vertical="center" indent="1"/>
    </xf>
    <xf numFmtId="1" fontId="23" fillId="7" borderId="12" xfId="0" quotePrefix="1" applyNumberFormat="1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left" vertical="center" indent="1"/>
    </xf>
    <xf numFmtId="0" fontId="3" fillId="0" borderId="24" xfId="0" applyFont="1" applyFill="1" applyBorder="1" applyAlignment="1">
      <alignment horizontal="left" vertical="center" indent="1"/>
    </xf>
    <xf numFmtId="0" fontId="7" fillId="7" borderId="12" xfId="0" applyFont="1" applyFill="1" applyBorder="1" applyAlignment="1">
      <alignment horizontal="left" vertical="center"/>
    </xf>
    <xf numFmtId="0" fontId="7" fillId="7" borderId="11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left" vertical="center"/>
    </xf>
    <xf numFmtId="0" fontId="3" fillId="7" borderId="32" xfId="0" applyFont="1" applyFill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2" fillId="7" borderId="15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left" vertical="center" indent="1"/>
    </xf>
    <xf numFmtId="0" fontId="3" fillId="7" borderId="36" xfId="0" applyFont="1" applyFill="1" applyBorder="1" applyAlignment="1">
      <alignment horizontal="left" vertical="center" indent="1"/>
    </xf>
    <xf numFmtId="0" fontId="33" fillId="0" borderId="12" xfId="0" applyFont="1" applyBorder="1" applyAlignment="1">
      <alignment horizontal="center" vertical="center"/>
    </xf>
    <xf numFmtId="0" fontId="3" fillId="7" borderId="23" xfId="0" applyFont="1" applyFill="1" applyBorder="1" applyAlignment="1">
      <alignment horizontal="left" vertical="center" indent="1"/>
    </xf>
    <xf numFmtId="0" fontId="3" fillId="7" borderId="11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center" vertical="center"/>
    </xf>
    <xf numFmtId="1" fontId="3" fillId="7" borderId="12" xfId="0" applyNumberFormat="1" applyFont="1" applyFill="1" applyBorder="1" applyAlignment="1">
      <alignment horizontal="left" vertical="center"/>
    </xf>
    <xf numFmtId="0" fontId="3" fillId="7" borderId="24" xfId="0" applyFont="1" applyFill="1" applyBorder="1" applyAlignment="1">
      <alignment horizontal="left" vertical="center" indent="1"/>
    </xf>
    <xf numFmtId="0" fontId="50" fillId="0" borderId="12" xfId="0" applyFont="1" applyBorder="1" applyAlignment="1">
      <alignment horizontal="center" vertical="center"/>
    </xf>
    <xf numFmtId="1" fontId="8" fillId="7" borderId="12" xfId="0" applyNumberFormat="1" applyFont="1" applyFill="1" applyBorder="1" applyAlignment="1">
      <alignment horizontal="center" vertical="center"/>
    </xf>
    <xf numFmtId="1" fontId="8" fillId="7" borderId="35" xfId="0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51" fillId="7" borderId="35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right" vertical="center"/>
    </xf>
    <xf numFmtId="0" fontId="3" fillId="0" borderId="11" xfId="5" applyNumberFormat="1" applyFont="1" applyFill="1" applyBorder="1" applyAlignment="1" applyProtection="1">
      <alignment horizontal="center" vertical="center"/>
    </xf>
    <xf numFmtId="1" fontId="3" fillId="7" borderId="12" xfId="0" quotePrefix="1" applyNumberFormat="1" applyFont="1" applyFill="1" applyBorder="1" applyAlignment="1">
      <alignment horizontal="left" vertical="center"/>
    </xf>
    <xf numFmtId="1" fontId="3" fillId="7" borderId="11" xfId="0" quotePrefix="1" applyNumberFormat="1" applyFont="1" applyFill="1" applyBorder="1" applyAlignment="1">
      <alignment horizontal="left" vertical="center"/>
    </xf>
    <xf numFmtId="1" fontId="8" fillId="7" borderId="12" xfId="0" applyNumberFormat="1" applyFont="1" applyFill="1" applyBorder="1" applyAlignment="1">
      <alignment horizontal="left" vertical="center"/>
    </xf>
    <xf numFmtId="1" fontId="8" fillId="7" borderId="11" xfId="0" applyNumberFormat="1" applyFont="1" applyFill="1" applyBorder="1" applyAlignment="1">
      <alignment horizontal="left" vertical="center"/>
    </xf>
    <xf numFmtId="0" fontId="3" fillId="7" borderId="12" xfId="0" applyFont="1" applyFill="1" applyBorder="1" applyAlignment="1">
      <alignment horizontal="left" indent="1"/>
    </xf>
    <xf numFmtId="0" fontId="3" fillId="7" borderId="11" xfId="0" applyFont="1" applyFill="1" applyBorder="1" applyAlignment="1">
      <alignment horizontal="left" indent="1"/>
    </xf>
    <xf numFmtId="168" fontId="3" fillId="7" borderId="11" xfId="0" applyNumberFormat="1" applyFont="1" applyFill="1" applyBorder="1" applyAlignment="1">
      <alignment vertical="center"/>
    </xf>
    <xf numFmtId="0" fontId="25" fillId="7" borderId="12" xfId="0" applyFont="1" applyFill="1" applyBorder="1" applyAlignment="1">
      <alignment vertical="center"/>
    </xf>
    <xf numFmtId="1" fontId="8" fillId="7" borderId="12" xfId="0" quotePrefix="1" applyNumberFormat="1" applyFont="1" applyFill="1" applyBorder="1" applyAlignment="1">
      <alignment horizontal="center" vertical="center"/>
    </xf>
    <xf numFmtId="1" fontId="8" fillId="7" borderId="11" xfId="0" quotePrefix="1" applyNumberFormat="1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47" fillId="7" borderId="12" xfId="0" applyFont="1" applyFill="1" applyBorder="1" applyAlignment="1">
      <alignment horizontal="left" vertical="center"/>
    </xf>
    <xf numFmtId="0" fontId="3" fillId="7" borderId="12" xfId="0" applyNumberFormat="1" applyFont="1" applyFill="1" applyBorder="1" applyAlignment="1" applyProtection="1">
      <alignment horizontal="right" vertical="center"/>
    </xf>
    <xf numFmtId="0" fontId="3" fillId="7" borderId="35" xfId="1" applyNumberFormat="1" applyFont="1" applyFill="1" applyBorder="1" applyAlignment="1" applyProtection="1">
      <alignment horizontal="center" vertical="center"/>
    </xf>
    <xf numFmtId="0" fontId="3" fillId="7" borderId="12" xfId="0" applyNumberFormat="1" applyFont="1" applyFill="1" applyBorder="1" applyAlignment="1">
      <alignment horizontal="right" vertical="center"/>
    </xf>
    <xf numFmtId="0" fontId="3" fillId="7" borderId="36" xfId="0" applyNumberFormat="1" applyFont="1" applyFill="1" applyBorder="1" applyAlignment="1">
      <alignment horizontal="center" vertical="center"/>
    </xf>
    <xf numFmtId="0" fontId="48" fillId="7" borderId="12" xfId="0" applyFont="1" applyFill="1" applyBorder="1" applyAlignment="1">
      <alignment horizontal="center" vertical="center"/>
    </xf>
    <xf numFmtId="0" fontId="48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left" vertical="center" indent="1"/>
    </xf>
    <xf numFmtId="0" fontId="3" fillId="7" borderId="38" xfId="0" applyFont="1" applyFill="1" applyBorder="1" applyAlignment="1">
      <alignment horizontal="left" vertical="center" indent="1"/>
    </xf>
    <xf numFmtId="0" fontId="4" fillId="7" borderId="12" xfId="0" applyFont="1" applyFill="1" applyBorder="1" applyAlignment="1">
      <alignment horizontal="center" vertical="center"/>
    </xf>
    <xf numFmtId="0" fontId="52" fillId="7" borderId="14" xfId="6" applyNumberFormat="1" applyFont="1" applyFill="1" applyBorder="1" applyAlignment="1" applyProtection="1">
      <alignment horizontal="right" vertical="center"/>
    </xf>
    <xf numFmtId="0" fontId="51" fillId="7" borderId="11" xfId="0" applyFont="1" applyFill="1" applyBorder="1" applyAlignment="1">
      <alignment horizontal="center" vertical="center"/>
    </xf>
    <xf numFmtId="1" fontId="3" fillId="7" borderId="11" xfId="0" applyNumberFormat="1" applyFont="1" applyFill="1" applyBorder="1" applyAlignment="1">
      <alignment horizontal="center" vertical="center"/>
    </xf>
    <xf numFmtId="0" fontId="3" fillId="0" borderId="12" xfId="7" applyFont="1" applyFill="1" applyBorder="1" applyAlignment="1">
      <alignment horizontal="left" vertical="center" indent="1"/>
    </xf>
    <xf numFmtId="1" fontId="3" fillId="0" borderId="35" xfId="0" applyNumberFormat="1" applyFont="1" applyFill="1" applyBorder="1" applyAlignment="1">
      <alignment horizontal="center" vertical="center"/>
    </xf>
    <xf numFmtId="0" fontId="3" fillId="0" borderId="11" xfId="7" applyFont="1" applyFill="1" applyBorder="1" applyAlignment="1">
      <alignment horizontal="left" vertical="center" indent="1"/>
    </xf>
    <xf numFmtId="0" fontId="3" fillId="0" borderId="11" xfId="7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left" vertical="center" indent="1"/>
    </xf>
    <xf numFmtId="1" fontId="3" fillId="0" borderId="40" xfId="0" applyNumberFormat="1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indent="1"/>
    </xf>
    <xf numFmtId="0" fontId="3" fillId="0" borderId="12" xfId="7" applyFont="1" applyFill="1" applyBorder="1" applyAlignment="1">
      <alignment horizontal="center" vertical="center"/>
    </xf>
    <xf numFmtId="0" fontId="3" fillId="0" borderId="39" xfId="7" applyFont="1" applyBorder="1" applyAlignment="1">
      <alignment horizontal="left" vertical="center" indent="1"/>
    </xf>
    <xf numFmtId="0" fontId="3" fillId="0" borderId="12" xfId="7" applyFont="1" applyBorder="1" applyAlignment="1">
      <alignment horizontal="left" vertical="center"/>
    </xf>
    <xf numFmtId="0" fontId="3" fillId="0" borderId="1" xfId="8" applyNumberFormat="1" applyFont="1" applyFill="1" applyBorder="1" applyAlignment="1" applyProtection="1">
      <alignment horizontal="center" vertical="center"/>
    </xf>
    <xf numFmtId="0" fontId="3" fillId="0" borderId="24" xfId="7" applyFont="1" applyBorder="1" applyAlignment="1">
      <alignment horizontal="left" vertical="center" indent="1"/>
    </xf>
    <xf numFmtId="0" fontId="3" fillId="0" borderId="11" xfId="7" applyFont="1" applyBorder="1" applyAlignment="1">
      <alignment horizontal="center"/>
    </xf>
    <xf numFmtId="0" fontId="3" fillId="0" borderId="11" xfId="7" applyNumberFormat="1" applyFont="1" applyFill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1" fontId="3" fillId="0" borderId="12" xfId="0" quotePrefix="1" applyNumberFormat="1" applyFont="1" applyFill="1" applyBorder="1" applyAlignment="1">
      <alignment horizontal="center" vertical="center"/>
    </xf>
    <xf numFmtId="0" fontId="3" fillId="0" borderId="12" xfId="7" applyFont="1" applyFill="1" applyBorder="1" applyAlignment="1">
      <alignment horizontal="left" indent="1"/>
    </xf>
    <xf numFmtId="0" fontId="3" fillId="0" borderId="12" xfId="7" applyFont="1" applyFill="1" applyBorder="1" applyAlignment="1">
      <alignment vertical="center"/>
    </xf>
    <xf numFmtId="1" fontId="3" fillId="0" borderId="11" xfId="0" quotePrefix="1" applyNumberFormat="1" applyFont="1" applyFill="1" applyBorder="1" applyAlignment="1">
      <alignment horizontal="center" vertical="center"/>
    </xf>
    <xf numFmtId="0" fontId="3" fillId="0" borderId="11" xfId="7" applyFont="1" applyFill="1" applyBorder="1" applyAlignment="1">
      <alignment horizontal="left" indent="1"/>
    </xf>
    <xf numFmtId="0" fontId="23" fillId="7" borderId="12" xfId="0" quotePrefix="1" applyFont="1" applyFill="1" applyBorder="1" applyAlignment="1">
      <alignment horizontal="left" vertical="center"/>
    </xf>
    <xf numFmtId="0" fontId="53" fillId="0" borderId="16" xfId="0" applyFont="1" applyFill="1" applyBorder="1" applyAlignment="1">
      <alignment horizontal="left" vertical="center" indent="1"/>
    </xf>
    <xf numFmtId="0" fontId="53" fillId="0" borderId="22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3" fillId="0" borderId="20" xfId="0" applyFont="1" applyFill="1" applyBorder="1" applyAlignment="1">
      <alignment horizontal="center" vertical="center"/>
    </xf>
    <xf numFmtId="0" fontId="53" fillId="0" borderId="17" xfId="0" applyFont="1" applyFill="1" applyBorder="1" applyAlignment="1">
      <alignment horizontal="left" vertical="center" indent="1"/>
    </xf>
    <xf numFmtId="0" fontId="53" fillId="0" borderId="34" xfId="0" applyFont="1" applyFill="1" applyBorder="1" applyAlignment="1">
      <alignment horizontal="left" vertical="center" indent="1"/>
    </xf>
    <xf numFmtId="0" fontId="53" fillId="0" borderId="31" xfId="0" applyFont="1" applyFill="1" applyBorder="1" applyAlignment="1">
      <alignment horizontal="center" vertical="center"/>
    </xf>
    <xf numFmtId="0" fontId="53" fillId="0" borderId="17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/>
    </xf>
    <xf numFmtId="0" fontId="53" fillId="7" borderId="16" xfId="0" applyFont="1" applyFill="1" applyBorder="1" applyAlignment="1">
      <alignment horizontal="left" vertical="center" indent="1"/>
    </xf>
    <xf numFmtId="0" fontId="53" fillId="7" borderId="22" xfId="0" applyFont="1" applyFill="1" applyBorder="1" applyAlignment="1">
      <alignment horizontal="center" vertical="center"/>
    </xf>
    <xf numFmtId="0" fontId="53" fillId="7" borderId="17" xfId="0" applyFont="1" applyFill="1" applyBorder="1" applyAlignment="1">
      <alignment horizontal="left" vertical="center" indent="1"/>
    </xf>
    <xf numFmtId="0" fontId="53" fillId="7" borderId="20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left" vertical="center" indent="1"/>
    </xf>
    <xf numFmtId="0" fontId="53" fillId="7" borderId="31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3" fillId="0" borderId="16" xfId="0" applyFont="1" applyFill="1" applyBorder="1" applyAlignment="1" applyProtection="1">
      <alignment horizontal="left" vertical="center" inden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left" vertical="center" indent="1"/>
      <protection locked="0"/>
    </xf>
    <xf numFmtId="0" fontId="0" fillId="0" borderId="23" xfId="0" applyBorder="1" applyAlignment="1">
      <alignment vertical="center"/>
    </xf>
    <xf numFmtId="0" fontId="0" fillId="0" borderId="32" xfId="0" applyBorder="1" applyAlignment="1">
      <alignment vertical="center"/>
    </xf>
    <xf numFmtId="0" fontId="3" fillId="0" borderId="41" xfId="7" applyFont="1" applyFill="1" applyBorder="1" applyAlignment="1">
      <alignment horizontal="left" vertical="center" indent="1"/>
    </xf>
    <xf numFmtId="0" fontId="3" fillId="7" borderId="32" xfId="7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1" fontId="15" fillId="0" borderId="11" xfId="0" applyNumberFormat="1" applyFont="1" applyBorder="1" applyAlignment="1">
      <alignment horizontal="center" vertical="center"/>
    </xf>
    <xf numFmtId="0" fontId="53" fillId="7" borderId="34" xfId="0" applyFont="1" applyFill="1" applyBorder="1" applyAlignment="1">
      <alignment horizontal="left" vertical="center" indent="1"/>
    </xf>
    <xf numFmtId="0" fontId="21" fillId="6" borderId="29" xfId="0" applyFont="1" applyFill="1" applyBorder="1" applyAlignment="1">
      <alignment horizontal="right" vertical="center"/>
    </xf>
    <xf numFmtId="0" fontId="0" fillId="6" borderId="24" xfId="0" applyFill="1" applyBorder="1" applyAlignment="1">
      <alignment horizontal="right" vertical="center"/>
    </xf>
    <xf numFmtId="0" fontId="0" fillId="6" borderId="49" xfId="0" applyFill="1" applyBorder="1" applyAlignment="1">
      <alignment horizontal="right" vertical="center"/>
    </xf>
    <xf numFmtId="0" fontId="26" fillId="0" borderId="2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2" fillId="0" borderId="42" xfId="0" applyFont="1" applyBorder="1" applyAlignment="1">
      <alignment horizontal="center" vertical="top"/>
    </xf>
    <xf numFmtId="0" fontId="2" fillId="0" borderId="43" xfId="0" applyFont="1" applyBorder="1" applyAlignment="1">
      <alignment horizontal="center" vertical="top"/>
    </xf>
    <xf numFmtId="0" fontId="2" fillId="0" borderId="44" xfId="0" applyFont="1" applyBorder="1" applyAlignment="1">
      <alignment horizontal="center" vertical="top"/>
    </xf>
    <xf numFmtId="0" fontId="21" fillId="6" borderId="45" xfId="0" applyFont="1" applyFill="1" applyBorder="1" applyAlignment="1">
      <alignment horizontal="right" vertical="center"/>
    </xf>
    <xf numFmtId="0" fontId="0" fillId="6" borderId="23" xfId="0" applyFill="1" applyBorder="1"/>
    <xf numFmtId="0" fontId="0" fillId="6" borderId="22" xfId="0" applyFill="1" applyBorder="1"/>
    <xf numFmtId="0" fontId="2" fillId="0" borderId="25" xfId="0" applyFont="1" applyBorder="1" applyAlignment="1">
      <alignment horizontal="center" vertical="top"/>
    </xf>
    <xf numFmtId="0" fontId="2" fillId="0" borderId="52" xfId="0" applyFont="1" applyBorder="1" applyAlignment="1">
      <alignment horizontal="left" vertical="top" wrapText="1" indent="1"/>
    </xf>
    <xf numFmtId="0" fontId="2" fillId="0" borderId="24" xfId="0" applyFont="1" applyBorder="1" applyAlignment="1">
      <alignment horizontal="left" vertical="top" wrapText="1" indent="1"/>
    </xf>
    <xf numFmtId="0" fontId="2" fillId="0" borderId="49" xfId="0" applyFont="1" applyBorder="1" applyAlignment="1">
      <alignment horizontal="left" vertical="top" wrapText="1" indent="1"/>
    </xf>
    <xf numFmtId="0" fontId="5" fillId="6" borderId="3" xfId="0" applyFont="1" applyFill="1" applyBorder="1" applyAlignment="1">
      <alignment horizontal="center" vertical="top"/>
    </xf>
    <xf numFmtId="0" fontId="5" fillId="6" borderId="0" xfId="0" applyFont="1" applyFill="1" applyBorder="1" applyAlignment="1">
      <alignment horizontal="center" vertical="top"/>
    </xf>
    <xf numFmtId="164" fontId="24" fillId="6" borderId="46" xfId="0" applyNumberFormat="1" applyFont="1" applyFill="1" applyBorder="1" applyAlignment="1">
      <alignment horizontal="left" vertical="top"/>
    </xf>
    <xf numFmtId="164" fontId="24" fillId="6" borderId="47" xfId="0" applyNumberFormat="1" applyFont="1" applyFill="1" applyBorder="1" applyAlignment="1">
      <alignment horizontal="left" vertical="top"/>
    </xf>
    <xf numFmtId="0" fontId="21" fillId="0" borderId="17" xfId="0" applyFont="1" applyBorder="1" applyAlignment="1">
      <alignment horizontal="left" vertical="center"/>
    </xf>
    <xf numFmtId="0" fontId="24" fillId="0" borderId="17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164" fontId="24" fillId="6" borderId="50" xfId="0" applyNumberFormat="1" applyFont="1" applyFill="1" applyBorder="1" applyAlignment="1">
      <alignment horizontal="left" vertical="top"/>
    </xf>
    <xf numFmtId="164" fontId="24" fillId="6" borderId="51" xfId="0" applyNumberFormat="1" applyFont="1" applyFill="1" applyBorder="1" applyAlignment="1">
      <alignment horizontal="left" vertical="top"/>
    </xf>
    <xf numFmtId="0" fontId="28" fillId="0" borderId="8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6" borderId="8" xfId="0" applyFont="1" applyFill="1" applyBorder="1" applyAlignment="1">
      <alignment horizontal="center"/>
    </xf>
    <xf numFmtId="0" fontId="30" fillId="6" borderId="9" xfId="0" applyFont="1" applyFill="1" applyBorder="1" applyAlignment="1">
      <alignment horizontal="center"/>
    </xf>
    <xf numFmtId="0" fontId="30" fillId="6" borderId="10" xfId="0" applyFont="1" applyFill="1" applyBorder="1" applyAlignment="1">
      <alignment horizontal="center"/>
    </xf>
    <xf numFmtId="164" fontId="2" fillId="6" borderId="21" xfId="0" applyNumberFormat="1" applyFont="1" applyFill="1" applyBorder="1" applyAlignment="1">
      <alignment horizontal="left" vertical="top"/>
    </xf>
    <xf numFmtId="164" fontId="2" fillId="6" borderId="32" xfId="0" applyNumberFormat="1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164" fontId="24" fillId="6" borderId="21" xfId="0" applyNumberFormat="1" applyFont="1" applyFill="1" applyBorder="1" applyAlignment="1">
      <alignment horizontal="left" vertical="top"/>
    </xf>
    <xf numFmtId="164" fontId="24" fillId="6" borderId="32" xfId="0" applyNumberFormat="1" applyFont="1" applyFill="1" applyBorder="1" applyAlignment="1">
      <alignment horizontal="left" vertical="top"/>
    </xf>
    <xf numFmtId="0" fontId="2" fillId="0" borderId="17" xfId="0" applyFont="1" applyBorder="1" applyAlignment="1">
      <alignment horizontal="left" vertical="top" wrapText="1" indent="1"/>
    </xf>
    <xf numFmtId="0" fontId="2" fillId="0" borderId="21" xfId="0" applyFont="1" applyBorder="1" applyAlignment="1">
      <alignment horizontal="left" vertical="top" indent="1"/>
    </xf>
    <xf numFmtId="0" fontId="0" fillId="0" borderId="23" xfId="0" applyBorder="1" applyAlignment="1">
      <alignment horizontal="left" vertical="top" indent="1"/>
    </xf>
    <xf numFmtId="0" fontId="0" fillId="0" borderId="22" xfId="0" applyBorder="1" applyAlignment="1">
      <alignment horizontal="left" vertical="top" indent="1"/>
    </xf>
    <xf numFmtId="0" fontId="24" fillId="0" borderId="21" xfId="0" applyFont="1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25" xfId="0" applyFont="1" applyBorder="1" applyAlignment="1"/>
    <xf numFmtId="0" fontId="2" fillId="0" borderId="4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47" xfId="0" applyFont="1" applyBorder="1" applyAlignment="1">
      <alignment horizontal="center" vertical="top"/>
    </xf>
    <xf numFmtId="0" fontId="2" fillId="6" borderId="48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2" fillId="0" borderId="9" xfId="0" applyFont="1" applyBorder="1" applyAlignment="1"/>
    <xf numFmtId="0" fontId="5" fillId="0" borderId="17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 indent="1"/>
    </xf>
    <xf numFmtId="164" fontId="24" fillId="6" borderId="17" xfId="0" applyNumberFormat="1" applyFont="1" applyFill="1" applyBorder="1" applyAlignment="1">
      <alignment horizontal="left" vertical="top"/>
    </xf>
    <xf numFmtId="164" fontId="24" fillId="6" borderId="20" xfId="0" applyNumberFormat="1" applyFont="1" applyFill="1" applyBorder="1" applyAlignment="1">
      <alignment horizontal="left" vertical="top"/>
    </xf>
    <xf numFmtId="0" fontId="27" fillId="0" borderId="17" xfId="0" applyFont="1" applyBorder="1" applyAlignment="1">
      <alignment horizontal="left" vertical="top" wrapText="1" indent="1"/>
    </xf>
    <xf numFmtId="0" fontId="2" fillId="0" borderId="21" xfId="0" applyFont="1" applyBorder="1" applyAlignment="1">
      <alignment horizontal="left" vertical="top" wrapText="1" indent="1"/>
    </xf>
    <xf numFmtId="0" fontId="2" fillId="0" borderId="23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horizontal="left" vertical="top" wrapText="1" indent="1"/>
    </xf>
    <xf numFmtId="0" fontId="2" fillId="0" borderId="2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0" fillId="6" borderId="8" xfId="0" applyFont="1" applyFill="1" applyBorder="1" applyAlignment="1">
      <alignment horizontal="center" vertical="center"/>
    </xf>
    <xf numFmtId="0" fontId="31" fillId="6" borderId="9" xfId="0" applyFont="1" applyFill="1" applyBorder="1" applyAlignment="1">
      <alignment horizontal="center" vertical="center"/>
    </xf>
    <xf numFmtId="0" fontId="31" fillId="6" borderId="1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4" fillId="6" borderId="4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0" fillId="0" borderId="25" xfId="0" applyBorder="1" applyAlignment="1"/>
    <xf numFmtId="0" fontId="0" fillId="0" borderId="9" xfId="0" applyBorder="1" applyAlignment="1"/>
    <xf numFmtId="0" fontId="31" fillId="6" borderId="9" xfId="0" applyFont="1" applyFill="1" applyBorder="1" applyAlignment="1">
      <alignment horizontal="center"/>
    </xf>
    <xf numFmtId="0" fontId="31" fillId="6" borderId="10" xfId="0" applyFont="1" applyFill="1" applyBorder="1" applyAlignment="1">
      <alignment horizontal="center"/>
    </xf>
    <xf numFmtId="0" fontId="39" fillId="6" borderId="9" xfId="0" applyFont="1" applyFill="1" applyBorder="1" applyAlignment="1">
      <alignment horizontal="center"/>
    </xf>
    <xf numFmtId="0" fontId="39" fillId="6" borderId="10" xfId="0" applyFont="1" applyFill="1" applyBorder="1" applyAlignment="1">
      <alignment horizontal="center"/>
    </xf>
    <xf numFmtId="1" fontId="21" fillId="0" borderId="8" xfId="0" applyNumberFormat="1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0" fillId="6" borderId="8" xfId="0" applyFont="1" applyFill="1" applyBorder="1" applyAlignment="1">
      <alignment horizontal="center" wrapText="1"/>
    </xf>
    <xf numFmtId="0" fontId="30" fillId="6" borderId="9" xfId="0" applyFont="1" applyFill="1" applyBorder="1" applyAlignment="1">
      <alignment horizontal="center" wrapText="1"/>
    </xf>
    <xf numFmtId="0" fontId="30" fillId="6" borderId="10" xfId="0" applyFont="1" applyFill="1" applyBorder="1" applyAlignment="1">
      <alignment horizontal="center" wrapText="1"/>
    </xf>
    <xf numFmtId="0" fontId="42" fillId="6" borderId="4" xfId="0" applyFont="1" applyFill="1" applyBorder="1" applyAlignment="1">
      <alignment horizontal="center" vertical="center"/>
    </xf>
    <xf numFmtId="0" fontId="21" fillId="6" borderId="4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47" xfId="0" applyBorder="1" applyAlignment="1">
      <alignment vertical="center"/>
    </xf>
    <xf numFmtId="0" fontId="10" fillId="0" borderId="2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24" fillId="6" borderId="53" xfId="0" applyFont="1" applyFill="1" applyBorder="1" applyAlignment="1">
      <alignment horizontal="left" vertical="center" wrapText="1" indent="1"/>
    </xf>
    <xf numFmtId="0" fontId="38" fillId="6" borderId="54" xfId="0" applyFont="1" applyFill="1" applyBorder="1" applyAlignment="1">
      <alignment horizontal="left" vertical="center" wrapText="1" indent="1"/>
    </xf>
    <xf numFmtId="0" fontId="38" fillId="6" borderId="37" xfId="0" applyFont="1" applyFill="1" applyBorder="1" applyAlignment="1">
      <alignment horizontal="left" vertical="center" wrapText="1" indent="1"/>
    </xf>
    <xf numFmtId="0" fontId="38" fillId="6" borderId="55" xfId="0" applyFont="1" applyFill="1" applyBorder="1" applyAlignment="1">
      <alignment horizontal="left" vertical="center" wrapText="1" indent="1"/>
    </xf>
    <xf numFmtId="0" fontId="38" fillId="6" borderId="56" xfId="0" applyFont="1" applyFill="1" applyBorder="1" applyAlignment="1">
      <alignment horizontal="left" vertical="center" wrapText="1" indent="1"/>
    </xf>
    <xf numFmtId="0" fontId="38" fillId="6" borderId="57" xfId="0" applyFont="1" applyFill="1" applyBorder="1" applyAlignment="1">
      <alignment horizontal="left" vertical="center" wrapText="1" indent="1"/>
    </xf>
    <xf numFmtId="0" fontId="54" fillId="0" borderId="45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center" vertical="center"/>
    </xf>
    <xf numFmtId="0" fontId="54" fillId="0" borderId="38" xfId="0" applyFont="1" applyFill="1" applyBorder="1" applyAlignment="1">
      <alignment horizontal="center" vertical="center"/>
    </xf>
    <xf numFmtId="0" fontId="54" fillId="0" borderId="39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0" fontId="32" fillId="6" borderId="8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left" vertical="center" indent="1"/>
    </xf>
    <xf numFmtId="0" fontId="0" fillId="6" borderId="39" xfId="0" applyFill="1" applyBorder="1" applyAlignment="1">
      <alignment horizontal="left" vertical="center" indent="1"/>
    </xf>
    <xf numFmtId="0" fontId="0" fillId="6" borderId="15" xfId="0" applyFill="1" applyBorder="1" applyAlignment="1">
      <alignment horizontal="left" vertical="center" indent="1"/>
    </xf>
    <xf numFmtId="0" fontId="23" fillId="0" borderId="21" xfId="0" quotePrefix="1" applyFont="1" applyBorder="1" applyAlignment="1" applyProtection="1">
      <alignment horizontal="left"/>
    </xf>
    <xf numFmtId="0" fontId="20" fillId="0" borderId="22" xfId="0" applyFont="1" applyBorder="1" applyAlignment="1"/>
    <xf numFmtId="0" fontId="4" fillId="6" borderId="6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3" fillId="0" borderId="17" xfId="0" quotePrefix="1" applyFont="1" applyFill="1" applyBorder="1" applyAlignment="1" applyProtection="1">
      <alignment horizontal="left"/>
    </xf>
    <xf numFmtId="0" fontId="20" fillId="0" borderId="17" xfId="0" applyFont="1" applyBorder="1" applyAlignment="1"/>
    <xf numFmtId="0" fontId="4" fillId="6" borderId="8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9">
    <cellStyle name="Comma" xfId="1" builtinId="3"/>
    <cellStyle name="Comma 5" xfId="4" xr:uid="{00000000-0005-0000-0000-000001000000}"/>
    <cellStyle name="Comma 5 2 2" xfId="8" xr:uid="{00000000-0005-0000-0000-000002000000}"/>
    <cellStyle name="Comma 7" xfId="5" xr:uid="{00000000-0005-0000-0000-000003000000}"/>
    <cellStyle name="Comma 9" xfId="6" xr:uid="{00000000-0005-0000-0000-000004000000}"/>
    <cellStyle name="Currency" xfId="2" builtinId="4"/>
    <cellStyle name="Normal" xfId="0" builtinId="0"/>
    <cellStyle name="Normal 2" xfId="3" xr:uid="{00000000-0005-0000-0000-000007000000}"/>
    <cellStyle name="Normal 2 2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DDDDD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15</xdr:row>
      <xdr:rowOff>143933</xdr:rowOff>
    </xdr:from>
    <xdr:to>
      <xdr:col>19</xdr:col>
      <xdr:colOff>342900</xdr:colOff>
      <xdr:row>49</xdr:row>
      <xdr:rowOff>101600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2" name="Add-in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2" name="Add-in 1">
              <a:extLst>
                <a:ext uri="{FF2B5EF4-FFF2-40B4-BE49-F238E27FC236}">
                  <a16:creationId xmlns:a16="http://schemas.microsoft.com/office/drawing/2014/main" id="{00000000-0008-0000-1400-00000200000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wenanm\Desktop\Dimbaza%202017%20NED%20(CP)%20Costing%20update%20project%20revived%2020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kamoco\AppData\Local\Microsoft\Windows\Temporary%20Internet%20Files\Content.Outlook\33GLYRVK\Dimbaza%20Refurb%20DRA%20Re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s"/>
      <sheetName val="Project info"/>
      <sheetName val="Sheet1"/>
      <sheetName val="SFC"/>
      <sheetName val="BPs"/>
      <sheetName val="Vamp"/>
      <sheetName val="Rural Feeder"/>
      <sheetName val="Cable Feeder"/>
      <sheetName val="Bus Section or Coupler"/>
      <sheetName val="Bus Zone"/>
      <sheetName val="Distance Feeder V1"/>
      <sheetName val="Distance Feeder V2"/>
      <sheetName val="Current Diff Feeder"/>
      <sheetName val="TRFR"/>
      <sheetName val="TRFR (ENC) 2-WDG"/>
      <sheetName val="TRFR (ENC) AUTO"/>
      <sheetName val="OLTC"/>
      <sheetName val="OLTC (ENC)"/>
      <sheetName val="UFLS"/>
      <sheetName val="VT &amp; CT JB"/>
      <sheetName val="Transducer"/>
      <sheetName val="Metering &amp; Metering Modules"/>
      <sheetName val="Battery Chargers"/>
      <sheetName val="Battery Chargers - Switch Mode"/>
      <sheetName val="Lead Acid bat - Hoppecke"/>
      <sheetName val="Lead Acid bat - 1st Nat Battery"/>
      <sheetName val="Nicad Bat - Alkaline"/>
      <sheetName val="Nicad Bat - IST"/>
      <sheetName val="ACDC Modules"/>
      <sheetName val="Cable schedule"/>
      <sheetName val="Cable BOM"/>
      <sheetName val="Misc Non ENC"/>
      <sheetName val="Non-ENC"/>
      <sheetName val="Labels General"/>
      <sheetName val="Labels DC"/>
      <sheetName val="Remote Eng Access"/>
      <sheetName val="Recorder"/>
      <sheetName val="Telecontrol Material Costs"/>
      <sheetName val="Nu-Lec Reclosers"/>
      <sheetName val="D20 BOM"/>
      <sheetName val="Weather Stations"/>
      <sheetName val="ED Material costs"/>
      <sheetName val="ED Labour Costs"/>
      <sheetName val="Plant-QoS"/>
      <sheetName val="Contracts"/>
      <sheetName val="LLT Material Letter"/>
      <sheetName val="NLLT Material Letter"/>
      <sheetName val="DRA LLTM Details"/>
      <sheetName val="Prim Plant Requirments"/>
      <sheetName val="Cabling Contractor BOQ"/>
      <sheetName val="ED"/>
      <sheetName val="Quote"/>
      <sheetName val="Scheme"/>
      <sheetName val="Protection"/>
      <sheetName val="Measurements"/>
      <sheetName val="DC"/>
      <sheetName val="Telecontrol"/>
      <sheetName val="EDSS"/>
      <sheetName val="Total costs"/>
      <sheetName val="ACDC Requirement Calculator"/>
      <sheetName val="Dogbox CT Ration Calculator"/>
      <sheetName val="Consultant Cost Estimate"/>
      <sheetName val="IO Count Calculator"/>
      <sheetName val="Posting"/>
      <sheetName val="Consultant Info"/>
      <sheetName val="Rates"/>
      <sheetName val="Recorder Sizing Calcula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>
        <row r="55">
          <cell r="D55">
            <v>4012</v>
          </cell>
          <cell r="I55">
            <v>1266</v>
          </cell>
        </row>
        <row r="57">
          <cell r="D57">
            <v>430</v>
          </cell>
          <cell r="I57">
            <v>650</v>
          </cell>
        </row>
        <row r="59">
          <cell r="D59">
            <v>358</v>
          </cell>
          <cell r="I59">
            <v>304</v>
          </cell>
        </row>
        <row r="63">
          <cell r="D63">
            <v>4948</v>
          </cell>
        </row>
        <row r="65">
          <cell r="C65">
            <v>120</v>
          </cell>
          <cell r="E65">
            <v>84</v>
          </cell>
          <cell r="G65">
            <v>36</v>
          </cell>
          <cell r="I65">
            <v>240</v>
          </cell>
        </row>
        <row r="67">
          <cell r="I67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83">
          <cell r="D83">
            <v>1</v>
          </cell>
          <cell r="H83">
            <v>0</v>
          </cell>
        </row>
        <row r="84">
          <cell r="D84">
            <v>0</v>
          </cell>
        </row>
        <row r="85">
          <cell r="D85">
            <v>1</v>
          </cell>
        </row>
      </sheetData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s"/>
      <sheetName val="Project info"/>
      <sheetName val="Sheet1"/>
      <sheetName val="SFC"/>
      <sheetName val="BPs"/>
      <sheetName val="Vamp"/>
      <sheetName val="Rural Feeder"/>
      <sheetName val="Cable Feeder"/>
      <sheetName val="Bus Section or Coupler"/>
      <sheetName val="Bus Zone"/>
      <sheetName val="Distance Feeder V1"/>
      <sheetName val="Distance Feeder V2"/>
      <sheetName val="Current Diff Feeder"/>
      <sheetName val="TRFR"/>
      <sheetName val="TRFR (ENC) 2-WDG"/>
      <sheetName val="TRFR (ENC) AUTO"/>
      <sheetName val="OLTC"/>
      <sheetName val="OLTC (ENC)"/>
      <sheetName val="UFLS"/>
      <sheetName val="VT &amp; CT JB"/>
      <sheetName val="Transducer"/>
      <sheetName val="Metering &amp; Metering Modules"/>
      <sheetName val="Battery Chargers"/>
      <sheetName val="Battery Chargers - Switch Mode"/>
      <sheetName val="Lead Acid bat - Hoppecke"/>
      <sheetName val="Lead Acid bat - 1st Nat Battery"/>
      <sheetName val="Nicad Bat - Alkaline"/>
      <sheetName val="Nicad Bat - IST"/>
      <sheetName val="ACDC Modules"/>
      <sheetName val="Cable schedule"/>
      <sheetName val="Cable BOM"/>
      <sheetName val="Misc Non ENC"/>
      <sheetName val="Non-ENC"/>
      <sheetName val="Labels General"/>
      <sheetName val="Labels DC"/>
      <sheetName val="Remote Eng Access"/>
      <sheetName val="Recorder"/>
      <sheetName val="Telecontrol Material Costs"/>
      <sheetName val="Nu-Lec Reclosers"/>
      <sheetName val="Weather Stations"/>
      <sheetName val="ED Material costs"/>
      <sheetName val="ED Labour Costs"/>
      <sheetName val="Plant-QoS"/>
      <sheetName val="Contracts"/>
      <sheetName val="LLT Material Letter"/>
      <sheetName val="NLLT Material Letter"/>
      <sheetName val="DRA LLTM Details"/>
      <sheetName val="Prim Plant Requirments"/>
      <sheetName val="Cabling Contractor BOQ"/>
      <sheetName val="ED"/>
      <sheetName val="Quote"/>
      <sheetName val="Scheme"/>
      <sheetName val="Protection"/>
      <sheetName val="Measurements"/>
      <sheetName val="DC"/>
      <sheetName val="Telecontrol"/>
      <sheetName val="EDSS"/>
      <sheetName val="Total costs"/>
      <sheetName val="ACDC Requirement Calculator"/>
      <sheetName val="Dogbox CT Ration Calculator"/>
      <sheetName val="Consultant Cost Estimate"/>
      <sheetName val="IO Count Calculator"/>
      <sheetName val="Posting"/>
      <sheetName val="Consultant Info"/>
      <sheetName val="Rat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55">
          <cell r="D55">
            <v>21516</v>
          </cell>
        </row>
        <row r="61">
          <cell r="D61">
            <v>0</v>
          </cell>
        </row>
        <row r="71">
          <cell r="D71">
            <v>0</v>
          </cell>
          <cell r="H71">
            <v>0</v>
          </cell>
        </row>
        <row r="75">
          <cell r="H75">
            <v>0</v>
          </cell>
        </row>
        <row r="77">
          <cell r="H77">
            <v>1</v>
          </cell>
        </row>
        <row r="78">
          <cell r="D78">
            <v>0</v>
          </cell>
          <cell r="H78">
            <v>0</v>
          </cell>
        </row>
        <row r="79">
          <cell r="H79">
            <v>1</v>
          </cell>
        </row>
        <row r="81">
          <cell r="D81">
            <v>0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webextension1.xml><?xml version="1.0" encoding="utf-8"?>
<we:webextension xmlns:we="http://schemas.microsoft.com/office/webextensions/webextension/2010/11" id="{00000000-0008-0000-1400-000002000000}">
  <we:reference id="wa102957661" version="1.4.0.0" store="en-US" storeType="OMEX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://intranet.eskom.co.za/tescod/prt09BG/7000/7021r1.pdf" TargetMode="External"/><Relationship Id="rId13" Type="http://schemas.openxmlformats.org/officeDocument/2006/relationships/hyperlink" Target="http://intranet.eskom.co.za/tescod/prt09BG/6000/6099r0.pdf" TargetMode="External"/><Relationship Id="rId18" Type="http://schemas.openxmlformats.org/officeDocument/2006/relationships/hyperlink" Target="http://intranet.eskom.co.za/tescod/prt09BG/6000/6085r1.pdf" TargetMode="External"/><Relationship Id="rId3" Type="http://schemas.openxmlformats.org/officeDocument/2006/relationships/hyperlink" Target="http://intranet.eskom.co.za/tescod/prt09BG/6000/6192r4.pdf" TargetMode="External"/><Relationship Id="rId21" Type="http://schemas.openxmlformats.org/officeDocument/2006/relationships/hyperlink" Target="http://intranet.eskom.co.za/tescod/prt09BG/6000/6141r3.pdf" TargetMode="External"/><Relationship Id="rId7" Type="http://schemas.openxmlformats.org/officeDocument/2006/relationships/hyperlink" Target="http://intranet.eskom.co.za/tescod/prt09BG/3000/3136R4.PDF" TargetMode="External"/><Relationship Id="rId12" Type="http://schemas.openxmlformats.org/officeDocument/2006/relationships/hyperlink" Target="http://intranet.eskom.co.za/tescod/prt09BG/6000/6250r3.pdf" TargetMode="External"/><Relationship Id="rId17" Type="http://schemas.openxmlformats.org/officeDocument/2006/relationships/hyperlink" Target="http://intranet.eskom.co.za/tescod/prt09BG/6000/6251r3.pdf" TargetMode="External"/><Relationship Id="rId2" Type="http://schemas.openxmlformats.org/officeDocument/2006/relationships/hyperlink" Target="http://intranet.eskom.co.za/tescod/prt09BG/6000/6192r4.pdf" TargetMode="External"/><Relationship Id="rId16" Type="http://schemas.openxmlformats.org/officeDocument/2006/relationships/hyperlink" Target="http://intranet.eskom.co.za/tescod/prt09BG/6000/6218r5.pdf" TargetMode="External"/><Relationship Id="rId20" Type="http://schemas.openxmlformats.org/officeDocument/2006/relationships/hyperlink" Target="http://intranet.eskom.co.za/tescod/prt09BG/6000/6141r3.pdf" TargetMode="External"/><Relationship Id="rId1" Type="http://schemas.openxmlformats.org/officeDocument/2006/relationships/hyperlink" Target="http://intranet.eskom.co.za/tescod/prt09BG/6000/6216r4.pdf" TargetMode="External"/><Relationship Id="rId6" Type="http://schemas.openxmlformats.org/officeDocument/2006/relationships/hyperlink" Target="http://intranet.eskom.co.za/tescod/prt09BG/6000/6044r1.pdf" TargetMode="External"/><Relationship Id="rId11" Type="http://schemas.openxmlformats.org/officeDocument/2006/relationships/hyperlink" Target="http://intranet.eskom.co.za/tescod/prt09BG/6000/6099r0.pdf" TargetMode="External"/><Relationship Id="rId5" Type="http://schemas.openxmlformats.org/officeDocument/2006/relationships/hyperlink" Target="http://intranet.eskom.co.za/tescod/prt09BG/6000/6192r4.pdf" TargetMode="External"/><Relationship Id="rId15" Type="http://schemas.openxmlformats.org/officeDocument/2006/relationships/hyperlink" Target="http://intranet.eskom.co.za/tescod/prt09BG/6000/6210r4.pdf" TargetMode="External"/><Relationship Id="rId23" Type="http://schemas.openxmlformats.org/officeDocument/2006/relationships/printerSettings" Target="../printerSettings/printerSettings23.bin"/><Relationship Id="rId10" Type="http://schemas.openxmlformats.org/officeDocument/2006/relationships/hyperlink" Target="http://intranet.eskom.co.za/tescod/prt09BG/6000/6099r0.pdf" TargetMode="External"/><Relationship Id="rId19" Type="http://schemas.openxmlformats.org/officeDocument/2006/relationships/hyperlink" Target="http://intranet.eskom.co.za/tescod/prt09BG/5000/5085.pdf" TargetMode="External"/><Relationship Id="rId4" Type="http://schemas.openxmlformats.org/officeDocument/2006/relationships/hyperlink" Target="http://intranet.eskom.co.za/tescod/prt09BG/6000/6192r4.pdf" TargetMode="External"/><Relationship Id="rId9" Type="http://schemas.openxmlformats.org/officeDocument/2006/relationships/hyperlink" Target="http://intranet.eskom.co.za/tescod/prt09BG/6000/6210r4.pdf" TargetMode="External"/><Relationship Id="rId14" Type="http://schemas.openxmlformats.org/officeDocument/2006/relationships/hyperlink" Target="http://intranet.eskom.co.za/tescod/prt09BG/6000/6210r4.pdf" TargetMode="External"/><Relationship Id="rId22" Type="http://schemas.openxmlformats.org/officeDocument/2006/relationships/hyperlink" Target="http://intranet.eskom.co.za/tescod/prt09BG/6000/6090r2.pdf" TargetMode="Externa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hyperlink" Target="http://intranet.eskom.co.za/tescod/prt09BG/8000/8001r3.pdf" TargetMode="External"/><Relationship Id="rId13" Type="http://schemas.openxmlformats.org/officeDocument/2006/relationships/hyperlink" Target="http://intranet.eskom.co.za/tescod/prt09BG/8000/8007r2.pdf" TargetMode="External"/><Relationship Id="rId18" Type="http://schemas.openxmlformats.org/officeDocument/2006/relationships/hyperlink" Target="http://intranet.eskom.co.za/tescod/prt09BG/8000/8000r3.pdf" TargetMode="External"/><Relationship Id="rId26" Type="http://schemas.openxmlformats.org/officeDocument/2006/relationships/hyperlink" Target="http://intranet.eskom.co.za/tescod/prt09BG/8000/8001r3.pdf" TargetMode="External"/><Relationship Id="rId3" Type="http://schemas.openxmlformats.org/officeDocument/2006/relationships/hyperlink" Target="http://intranet.eskom.co.za/tescod/prt09BG/6000/6192r4.pdf" TargetMode="External"/><Relationship Id="rId21" Type="http://schemas.openxmlformats.org/officeDocument/2006/relationships/hyperlink" Target="http://intranet.eskom.co.za/tescod/prt09BG/8000/8001r3.pdf" TargetMode="External"/><Relationship Id="rId7" Type="http://schemas.openxmlformats.org/officeDocument/2006/relationships/hyperlink" Target="http://intranet.eskom.co.za/tescod/prt09BG/8000/8001r3.pdf" TargetMode="External"/><Relationship Id="rId12" Type="http://schemas.openxmlformats.org/officeDocument/2006/relationships/hyperlink" Target="http://intranet.eskom.co.za/tescod/prt09BG/6000/6210r4.pdf" TargetMode="External"/><Relationship Id="rId17" Type="http://schemas.openxmlformats.org/officeDocument/2006/relationships/hyperlink" Target="http://intranet.eskom.co.za/tescod/prt09BG/8000/8000r3.pdf" TargetMode="External"/><Relationship Id="rId25" Type="http://schemas.openxmlformats.org/officeDocument/2006/relationships/hyperlink" Target="http://intranet.eskom.co.za/tescod/prt09BG/8000/8001r3.pdf" TargetMode="External"/><Relationship Id="rId2" Type="http://schemas.openxmlformats.org/officeDocument/2006/relationships/hyperlink" Target="http://intranet.eskom.co.za/tescod/prt09BG/6000/6192r4.pdf" TargetMode="External"/><Relationship Id="rId16" Type="http://schemas.openxmlformats.org/officeDocument/2006/relationships/hyperlink" Target="http://intranet.eskom.co.za/tescod/prt09BG/8000/8001r3.pdf" TargetMode="External"/><Relationship Id="rId20" Type="http://schemas.openxmlformats.org/officeDocument/2006/relationships/hyperlink" Target="http://intranet.eskom.co.za/tescod/prt09BG/8000/8001r3.pdf" TargetMode="External"/><Relationship Id="rId1" Type="http://schemas.openxmlformats.org/officeDocument/2006/relationships/hyperlink" Target="http://intranet.eskom.co.za/tescod/prt09BG/6000/6216r4.pdf" TargetMode="External"/><Relationship Id="rId6" Type="http://schemas.openxmlformats.org/officeDocument/2006/relationships/hyperlink" Target="http://intranet.eskom.co.za/tescod/prt09BG/3000/3136R4.PDF" TargetMode="External"/><Relationship Id="rId11" Type="http://schemas.openxmlformats.org/officeDocument/2006/relationships/hyperlink" Target="http://intranet.eskom.co.za/tescod/prt09BG/6000/6099r0.pdf" TargetMode="External"/><Relationship Id="rId24" Type="http://schemas.openxmlformats.org/officeDocument/2006/relationships/hyperlink" Target="http://intranet.eskom.co.za/tescod/prt09BG/8000/8001r3.pdf" TargetMode="External"/><Relationship Id="rId5" Type="http://schemas.openxmlformats.org/officeDocument/2006/relationships/hyperlink" Target="http://intranet.eskom.co.za/tescod/prt09BG/6000/6192r4.pdf" TargetMode="External"/><Relationship Id="rId15" Type="http://schemas.openxmlformats.org/officeDocument/2006/relationships/hyperlink" Target="http://intranet.eskom.co.za/tescod/prt09BG/3000/3136R4.PDF" TargetMode="External"/><Relationship Id="rId23" Type="http://schemas.openxmlformats.org/officeDocument/2006/relationships/hyperlink" Target="http://intranet.eskom.co.za/tescod/prt09BG/8000/8001r3.pdf" TargetMode="External"/><Relationship Id="rId10" Type="http://schemas.openxmlformats.org/officeDocument/2006/relationships/hyperlink" Target="http://intranet.eskom.co.za/tescod/prt09BG/5000/5085.pdf" TargetMode="External"/><Relationship Id="rId19" Type="http://schemas.openxmlformats.org/officeDocument/2006/relationships/hyperlink" Target="http://intranet.eskom.co.za/tescod/prt09BG/8000/8001r3.pdf" TargetMode="External"/><Relationship Id="rId4" Type="http://schemas.openxmlformats.org/officeDocument/2006/relationships/hyperlink" Target="http://intranet.eskom.co.za/tescod/prt09BG/6000/6192r4.pdf" TargetMode="External"/><Relationship Id="rId9" Type="http://schemas.openxmlformats.org/officeDocument/2006/relationships/hyperlink" Target="http://intranet.eskom.co.za/tescod/prt09BG/6000/6210r4.pdf" TargetMode="External"/><Relationship Id="rId14" Type="http://schemas.openxmlformats.org/officeDocument/2006/relationships/hyperlink" Target="http://intranet.eskom.co.za/tescod/prt09BG/7000/7014r1.PDF" TargetMode="External"/><Relationship Id="rId22" Type="http://schemas.openxmlformats.org/officeDocument/2006/relationships/hyperlink" Target="http://intranet.eskom.co.za/tescod/prt09BG/8000/8001r3.pdf" TargetMode="External"/><Relationship Id="rId27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4"/>
  </sheetPr>
  <dimension ref="B1:J2198"/>
  <sheetViews>
    <sheetView tabSelected="1" view="pageBreakPreview" zoomScaleNormal="100" zoomScaleSheetLayoutView="100" workbookViewId="0">
      <selection activeCell="B2" sqref="B2:G2"/>
    </sheetView>
  </sheetViews>
  <sheetFormatPr defaultColWidth="9.109375" defaultRowHeight="13.2" x14ac:dyDescent="0.25"/>
  <cols>
    <col min="1" max="1" width="9.109375" style="1"/>
    <col min="2" max="2" width="8.6640625" style="1" customWidth="1"/>
    <col min="3" max="3" width="45.6640625" style="1" customWidth="1"/>
    <col min="4" max="5" width="8.6640625" style="1" customWidth="1"/>
    <col min="6" max="7" width="12.6640625" style="1" customWidth="1"/>
    <col min="8" max="8" width="9.109375" style="1" hidden="1" customWidth="1"/>
    <col min="9" max="16384" width="9.109375" style="1"/>
  </cols>
  <sheetData>
    <row r="1" spans="2:10" ht="8.1" customHeight="1" x14ac:dyDescent="0.25">
      <c r="B1" s="620"/>
      <c r="C1" s="620"/>
      <c r="D1" s="620"/>
      <c r="E1" s="620"/>
      <c r="F1" s="620"/>
      <c r="G1" s="620"/>
    </row>
    <row r="2" spans="2:10" ht="20.100000000000001" customHeight="1" x14ac:dyDescent="0.35">
      <c r="B2" s="604" t="s">
        <v>896</v>
      </c>
      <c r="C2" s="605"/>
      <c r="D2" s="605"/>
      <c r="E2" s="605"/>
      <c r="F2" s="605"/>
      <c r="G2" s="606"/>
      <c r="H2" s="115"/>
      <c r="I2" s="2"/>
      <c r="J2" s="2"/>
    </row>
    <row r="3" spans="2:10" ht="8.1" customHeight="1" x14ac:dyDescent="0.25">
      <c r="B3" s="626"/>
      <c r="C3" s="627"/>
      <c r="D3" s="627"/>
      <c r="E3" s="627"/>
      <c r="F3" s="627"/>
      <c r="G3" s="627"/>
      <c r="H3" s="3"/>
    </row>
    <row r="4" spans="2:10" s="2" customFormat="1" x14ac:dyDescent="0.25">
      <c r="B4" s="621"/>
      <c r="C4" s="622"/>
      <c r="D4" s="622"/>
      <c r="E4" s="622"/>
      <c r="F4" s="622"/>
      <c r="G4" s="623"/>
    </row>
    <row r="5" spans="2:10" s="2" customFormat="1" ht="12.9" customHeight="1" x14ac:dyDescent="0.25">
      <c r="B5" s="116"/>
      <c r="C5" s="628" t="s">
        <v>245</v>
      </c>
      <c r="D5" s="628"/>
      <c r="E5" s="628"/>
      <c r="F5" s="628"/>
      <c r="G5" s="629"/>
    </row>
    <row r="6" spans="2:10" s="2" customFormat="1" ht="12.9" customHeight="1" x14ac:dyDescent="0.25">
      <c r="B6" s="117" t="s">
        <v>200</v>
      </c>
      <c r="C6" s="630" t="s">
        <v>439</v>
      </c>
      <c r="D6" s="630"/>
      <c r="E6" s="630"/>
      <c r="F6" s="631" t="s">
        <v>179</v>
      </c>
      <c r="G6" s="632"/>
    </row>
    <row r="7" spans="2:10" s="2" customFormat="1" ht="12.9" customHeight="1" x14ac:dyDescent="0.25">
      <c r="B7" s="118" t="s">
        <v>201</v>
      </c>
      <c r="C7" s="633" t="s">
        <v>440</v>
      </c>
      <c r="D7" s="633"/>
      <c r="E7" s="633"/>
      <c r="F7" s="611" t="s">
        <v>179</v>
      </c>
      <c r="G7" s="612"/>
    </row>
    <row r="8" spans="2:10" s="2" customFormat="1" ht="12.9" customHeight="1" x14ac:dyDescent="0.25">
      <c r="B8" s="119" t="s">
        <v>214</v>
      </c>
      <c r="C8" s="613" t="s">
        <v>1125</v>
      </c>
      <c r="D8" s="613"/>
      <c r="E8" s="613"/>
      <c r="F8" s="607" t="s">
        <v>179</v>
      </c>
      <c r="G8" s="608"/>
    </row>
    <row r="9" spans="2:10" s="2" customFormat="1" ht="12.9" customHeight="1" x14ac:dyDescent="0.25">
      <c r="B9" s="119" t="s">
        <v>213</v>
      </c>
      <c r="C9" s="613" t="s">
        <v>415</v>
      </c>
      <c r="D9" s="613"/>
      <c r="E9" s="613"/>
      <c r="F9" s="607" t="s">
        <v>179</v>
      </c>
      <c r="G9" s="608"/>
    </row>
    <row r="10" spans="2:10" s="2" customFormat="1" ht="12.9" customHeight="1" x14ac:dyDescent="0.25">
      <c r="B10" s="119" t="s">
        <v>215</v>
      </c>
      <c r="C10" s="613" t="s">
        <v>441</v>
      </c>
      <c r="D10" s="613"/>
      <c r="E10" s="613"/>
      <c r="F10" s="607" t="s">
        <v>179</v>
      </c>
      <c r="G10" s="608"/>
    </row>
    <row r="11" spans="2:10" s="2" customFormat="1" ht="12.9" customHeight="1" x14ac:dyDescent="0.25">
      <c r="B11" s="119" t="s">
        <v>216</v>
      </c>
      <c r="C11" s="613" t="s">
        <v>608</v>
      </c>
      <c r="D11" s="613"/>
      <c r="E11" s="613"/>
      <c r="F11" s="607" t="s">
        <v>179</v>
      </c>
      <c r="G11" s="608"/>
    </row>
    <row r="12" spans="2:10" s="2" customFormat="1" ht="12.9" customHeight="1" x14ac:dyDescent="0.25">
      <c r="B12" s="119" t="s">
        <v>609</v>
      </c>
      <c r="C12" s="614" t="s">
        <v>1026</v>
      </c>
      <c r="D12" s="615"/>
      <c r="E12" s="616"/>
      <c r="F12" s="607" t="s">
        <v>179</v>
      </c>
      <c r="G12" s="608"/>
    </row>
    <row r="13" spans="2:10" s="2" customFormat="1" ht="12.9" customHeight="1" x14ac:dyDescent="0.25">
      <c r="B13" s="119" t="s">
        <v>610</v>
      </c>
      <c r="C13" s="634" t="s">
        <v>804</v>
      </c>
      <c r="D13" s="635"/>
      <c r="E13" s="636"/>
      <c r="F13" s="607" t="s">
        <v>179</v>
      </c>
      <c r="G13" s="608"/>
    </row>
    <row r="14" spans="2:10" s="2" customFormat="1" ht="12.9" customHeight="1" x14ac:dyDescent="0.25">
      <c r="B14" s="119" t="s">
        <v>620</v>
      </c>
      <c r="C14" s="634" t="s">
        <v>1025</v>
      </c>
      <c r="D14" s="635"/>
      <c r="E14" s="636"/>
      <c r="F14" s="607" t="s">
        <v>179</v>
      </c>
      <c r="G14" s="608"/>
    </row>
    <row r="15" spans="2:10" s="2" customFormat="1" ht="12.9" customHeight="1" x14ac:dyDescent="0.25">
      <c r="B15" s="119" t="s">
        <v>1028</v>
      </c>
      <c r="C15" s="614" t="s">
        <v>621</v>
      </c>
      <c r="D15" s="615"/>
      <c r="E15" s="616"/>
      <c r="F15" s="607" t="s">
        <v>179</v>
      </c>
      <c r="G15" s="608"/>
    </row>
    <row r="16" spans="2:10" s="2" customFormat="1" ht="12.9" customHeight="1" x14ac:dyDescent="0.25">
      <c r="B16" s="119"/>
      <c r="C16" s="588" t="s">
        <v>1027</v>
      </c>
      <c r="D16" s="589"/>
      <c r="E16" s="590"/>
      <c r="F16" s="607"/>
      <c r="G16" s="608"/>
    </row>
    <row r="17" spans="2:7" s="2" customFormat="1" ht="15.9" customHeight="1" x14ac:dyDescent="0.25">
      <c r="B17" s="609"/>
      <c r="C17" s="610"/>
      <c r="D17" s="610"/>
      <c r="E17" s="154"/>
      <c r="F17" s="593"/>
      <c r="G17" s="594"/>
    </row>
    <row r="18" spans="2:7" s="2" customFormat="1" ht="15.9" customHeight="1" thickBot="1" x14ac:dyDescent="0.3">
      <c r="B18" s="591" t="s">
        <v>442</v>
      </c>
      <c r="C18" s="592"/>
      <c r="D18" s="592"/>
      <c r="E18" s="155" t="s">
        <v>443</v>
      </c>
      <c r="F18" s="593" t="s">
        <v>179</v>
      </c>
      <c r="G18" s="594"/>
    </row>
    <row r="19" spans="2:7" s="2" customFormat="1" ht="15.9" customHeight="1" thickTop="1" x14ac:dyDescent="0.25">
      <c r="B19" s="624" t="s">
        <v>180</v>
      </c>
      <c r="C19" s="625"/>
      <c r="D19" s="625"/>
      <c r="E19" s="156" t="s">
        <v>199</v>
      </c>
      <c r="F19" s="598" t="s">
        <v>179</v>
      </c>
      <c r="G19" s="599"/>
    </row>
    <row r="20" spans="2:7" s="2" customFormat="1" ht="8.1" customHeight="1" x14ac:dyDescent="0.25">
      <c r="B20" s="587"/>
      <c r="C20" s="587"/>
      <c r="D20" s="587"/>
      <c r="E20" s="587"/>
      <c r="F20" s="587"/>
      <c r="G20" s="587"/>
    </row>
    <row r="21" spans="2:7" s="2" customFormat="1" ht="26.4" x14ac:dyDescent="0.25">
      <c r="B21" s="157" t="s">
        <v>444</v>
      </c>
      <c r="C21" s="158" t="s">
        <v>445</v>
      </c>
      <c r="D21" s="159" t="s">
        <v>446</v>
      </c>
      <c r="E21" s="159" t="s">
        <v>430</v>
      </c>
      <c r="F21" s="160" t="s">
        <v>447</v>
      </c>
      <c r="G21" s="161" t="s">
        <v>448</v>
      </c>
    </row>
    <row r="22" spans="2:7" s="2" customFormat="1" ht="8.1" customHeight="1" x14ac:dyDescent="0.25">
      <c r="B22" s="587"/>
      <c r="C22" s="587"/>
      <c r="D22" s="587"/>
      <c r="E22" s="587"/>
      <c r="F22" s="587"/>
      <c r="G22" s="587"/>
    </row>
    <row r="23" spans="2:7" s="2" customFormat="1" ht="8.1" customHeight="1" x14ac:dyDescent="0.25">
      <c r="B23" s="581"/>
      <c r="C23" s="582"/>
      <c r="D23" s="582"/>
      <c r="E23" s="582"/>
      <c r="F23" s="582"/>
      <c r="G23" s="583"/>
    </row>
    <row r="24" spans="2:7" s="77" customFormat="1" ht="12.9" customHeight="1" x14ac:dyDescent="0.25">
      <c r="B24" s="122" t="s">
        <v>200</v>
      </c>
      <c r="C24" s="595" t="s">
        <v>449</v>
      </c>
      <c r="D24" s="596"/>
      <c r="E24" s="596"/>
      <c r="F24" s="596"/>
      <c r="G24" s="597"/>
    </row>
    <row r="25" spans="2:7" s="77" customFormat="1" ht="30" customHeight="1" x14ac:dyDescent="0.25">
      <c r="B25" s="122" t="s">
        <v>450</v>
      </c>
      <c r="C25" s="121" t="s">
        <v>451</v>
      </c>
      <c r="D25" s="120" t="s">
        <v>177</v>
      </c>
      <c r="E25" s="120">
        <v>1</v>
      </c>
      <c r="F25" s="163"/>
      <c r="G25" s="162" t="s">
        <v>179</v>
      </c>
    </row>
    <row r="26" spans="2:7" s="77" customFormat="1" ht="30" customHeight="1" x14ac:dyDescent="0.25">
      <c r="B26" s="122" t="s">
        <v>452</v>
      </c>
      <c r="C26" s="617" t="s">
        <v>453</v>
      </c>
      <c r="D26" s="618"/>
      <c r="E26" s="618"/>
      <c r="F26" s="618"/>
      <c r="G26" s="619"/>
    </row>
    <row r="27" spans="2:7" s="77" customFormat="1" ht="12.9" customHeight="1" x14ac:dyDescent="0.25">
      <c r="B27" s="122" t="s">
        <v>454</v>
      </c>
      <c r="C27" s="121" t="s">
        <v>455</v>
      </c>
      <c r="D27" s="120" t="s">
        <v>177</v>
      </c>
      <c r="E27" s="120">
        <v>1</v>
      </c>
      <c r="F27" s="163"/>
      <c r="G27" s="162" t="s">
        <v>179</v>
      </c>
    </row>
    <row r="28" spans="2:7" s="77" customFormat="1" ht="12.9" customHeight="1" x14ac:dyDescent="0.25">
      <c r="B28" s="122" t="s">
        <v>456</v>
      </c>
      <c r="C28" s="121" t="s">
        <v>457</v>
      </c>
      <c r="D28" s="120" t="s">
        <v>177</v>
      </c>
      <c r="E28" s="120">
        <v>1</v>
      </c>
      <c r="F28" s="163"/>
      <c r="G28" s="162" t="s">
        <v>179</v>
      </c>
    </row>
    <row r="29" spans="2:7" s="77" customFormat="1" ht="12.9" customHeight="1" x14ac:dyDescent="0.25">
      <c r="B29" s="122" t="s">
        <v>458</v>
      </c>
      <c r="C29" s="121" t="s">
        <v>459</v>
      </c>
      <c r="D29" s="120" t="s">
        <v>177</v>
      </c>
      <c r="E29" s="120">
        <v>1</v>
      </c>
      <c r="F29" s="163"/>
      <c r="G29" s="162" t="s">
        <v>179</v>
      </c>
    </row>
    <row r="30" spans="2:7" s="77" customFormat="1" ht="12.9" customHeight="1" x14ac:dyDescent="0.25">
      <c r="B30" s="122" t="s">
        <v>460</v>
      </c>
      <c r="C30" s="121" t="s">
        <v>461</v>
      </c>
      <c r="D30" s="120" t="s">
        <v>177</v>
      </c>
      <c r="E30" s="120">
        <v>1</v>
      </c>
      <c r="F30" s="163"/>
      <c r="G30" s="162" t="s">
        <v>179</v>
      </c>
    </row>
    <row r="31" spans="2:7" s="77" customFormat="1" ht="12.9" customHeight="1" x14ac:dyDescent="0.25">
      <c r="B31" s="122" t="s">
        <v>462</v>
      </c>
      <c r="C31" s="121" t="s">
        <v>463</v>
      </c>
      <c r="D31" s="120" t="s">
        <v>177</v>
      </c>
      <c r="E31" s="120">
        <v>1</v>
      </c>
      <c r="F31" s="163"/>
      <c r="G31" s="162" t="s">
        <v>179</v>
      </c>
    </row>
    <row r="32" spans="2:7" s="77" customFormat="1" ht="30" customHeight="1" x14ac:dyDescent="0.25">
      <c r="B32" s="122" t="s">
        <v>464</v>
      </c>
      <c r="C32" s="121" t="s">
        <v>939</v>
      </c>
      <c r="D32" s="120" t="s">
        <v>177</v>
      </c>
      <c r="E32" s="120">
        <v>1</v>
      </c>
      <c r="F32" s="163"/>
      <c r="G32" s="162" t="s">
        <v>179</v>
      </c>
    </row>
    <row r="33" spans="2:7" s="2" customFormat="1" ht="20.100000000000001" customHeight="1" x14ac:dyDescent="0.25">
      <c r="B33" s="584" t="s">
        <v>182</v>
      </c>
      <c r="C33" s="585"/>
      <c r="D33" s="585"/>
      <c r="E33" s="585"/>
      <c r="F33" s="586"/>
      <c r="G33" s="162" t="s">
        <v>179</v>
      </c>
    </row>
    <row r="34" spans="2:7" s="2" customFormat="1" x14ac:dyDescent="0.25">
      <c r="B34" s="125" t="s">
        <v>201</v>
      </c>
      <c r="C34" s="578" t="s">
        <v>181</v>
      </c>
      <c r="D34" s="579"/>
      <c r="E34" s="579"/>
      <c r="F34" s="579"/>
      <c r="G34" s="580"/>
    </row>
    <row r="35" spans="2:7" s="2" customFormat="1" x14ac:dyDescent="0.25">
      <c r="B35" s="125" t="s">
        <v>465</v>
      </c>
      <c r="C35" s="578" t="s">
        <v>466</v>
      </c>
      <c r="D35" s="579"/>
      <c r="E35" s="579"/>
      <c r="F35" s="579"/>
      <c r="G35" s="580"/>
    </row>
    <row r="36" spans="2:7" s="2" customFormat="1" ht="30" customHeight="1" x14ac:dyDescent="0.25">
      <c r="B36" s="125"/>
      <c r="C36" s="123" t="s">
        <v>467</v>
      </c>
      <c r="D36" s="124"/>
      <c r="E36" s="124"/>
      <c r="F36" s="164"/>
      <c r="G36" s="165"/>
    </row>
    <row r="37" spans="2:7" s="2" customFormat="1" ht="60" customHeight="1" x14ac:dyDescent="0.25">
      <c r="B37" s="125" t="s">
        <v>468</v>
      </c>
      <c r="C37" s="123" t="s">
        <v>469</v>
      </c>
      <c r="D37" s="124" t="s">
        <v>470</v>
      </c>
      <c r="E37" s="124">
        <v>2</v>
      </c>
      <c r="F37" s="164"/>
      <c r="G37" s="165" t="s">
        <v>179</v>
      </c>
    </row>
    <row r="38" spans="2:7" s="2" customFormat="1" ht="12.9" customHeight="1" x14ac:dyDescent="0.25">
      <c r="B38" s="125" t="s">
        <v>471</v>
      </c>
      <c r="C38" s="578" t="s">
        <v>472</v>
      </c>
      <c r="D38" s="579"/>
      <c r="E38" s="579"/>
      <c r="F38" s="579"/>
      <c r="G38" s="580"/>
    </row>
    <row r="39" spans="2:7" s="2" customFormat="1" ht="30" customHeight="1" x14ac:dyDescent="0.25">
      <c r="B39" s="125" t="s">
        <v>473</v>
      </c>
      <c r="C39" s="123" t="s">
        <v>474</v>
      </c>
      <c r="D39" s="124" t="s">
        <v>470</v>
      </c>
      <c r="E39" s="124">
        <v>2</v>
      </c>
      <c r="F39" s="164"/>
      <c r="G39" s="165" t="s">
        <v>179</v>
      </c>
    </row>
    <row r="40" spans="2:7" s="2" customFormat="1" ht="12.9" customHeight="1" x14ac:dyDescent="0.25">
      <c r="B40" s="125" t="s">
        <v>476</v>
      </c>
      <c r="C40" s="578" t="s">
        <v>940</v>
      </c>
      <c r="D40" s="579"/>
      <c r="E40" s="579"/>
      <c r="F40" s="579"/>
      <c r="G40" s="580"/>
    </row>
    <row r="41" spans="2:7" s="2" customFormat="1" ht="12.9" customHeight="1" x14ac:dyDescent="0.25">
      <c r="B41" s="125" t="s">
        <v>477</v>
      </c>
      <c r="C41" s="123" t="s">
        <v>455</v>
      </c>
      <c r="D41" s="124" t="s">
        <v>475</v>
      </c>
      <c r="E41" s="124">
        <v>28</v>
      </c>
      <c r="F41" s="164"/>
      <c r="G41" s="165" t="s">
        <v>179</v>
      </c>
    </row>
    <row r="42" spans="2:7" s="2" customFormat="1" ht="12.9" customHeight="1" x14ac:dyDescent="0.25">
      <c r="B42" s="125" t="s">
        <v>478</v>
      </c>
      <c r="C42" s="123" t="s">
        <v>457</v>
      </c>
      <c r="D42" s="124" t="s">
        <v>475</v>
      </c>
      <c r="E42" s="124">
        <v>28</v>
      </c>
      <c r="F42" s="164"/>
      <c r="G42" s="165" t="s">
        <v>179</v>
      </c>
    </row>
    <row r="43" spans="2:7" s="2" customFormat="1" ht="12.9" customHeight="1" x14ac:dyDescent="0.25">
      <c r="B43" s="125" t="s">
        <v>479</v>
      </c>
      <c r="C43" s="123" t="s">
        <v>459</v>
      </c>
      <c r="D43" s="124" t="s">
        <v>475</v>
      </c>
      <c r="E43" s="124">
        <v>28</v>
      </c>
      <c r="F43" s="164"/>
      <c r="G43" s="165" t="s">
        <v>179</v>
      </c>
    </row>
    <row r="44" spans="2:7" s="2" customFormat="1" ht="12.9" customHeight="1" x14ac:dyDescent="0.25">
      <c r="B44" s="125" t="s">
        <v>480</v>
      </c>
      <c r="C44" s="123" t="s">
        <v>461</v>
      </c>
      <c r="D44" s="124" t="s">
        <v>475</v>
      </c>
      <c r="E44" s="124">
        <v>28</v>
      </c>
      <c r="F44" s="164"/>
      <c r="G44" s="165" t="s">
        <v>179</v>
      </c>
    </row>
    <row r="45" spans="2:7" s="2" customFormat="1" ht="12.9" customHeight="1" x14ac:dyDescent="0.25">
      <c r="B45" s="125" t="s">
        <v>481</v>
      </c>
      <c r="C45" s="123" t="s">
        <v>463</v>
      </c>
      <c r="D45" s="124" t="s">
        <v>475</v>
      </c>
      <c r="E45" s="124">
        <v>28</v>
      </c>
      <c r="F45" s="164"/>
      <c r="G45" s="165" t="s">
        <v>179</v>
      </c>
    </row>
    <row r="46" spans="2:7" s="2" customFormat="1" ht="12.9" customHeight="1" x14ac:dyDescent="0.25">
      <c r="B46" s="125" t="s">
        <v>482</v>
      </c>
      <c r="C46" s="123" t="s">
        <v>603</v>
      </c>
      <c r="D46" s="124" t="s">
        <v>475</v>
      </c>
      <c r="E46" s="124">
        <v>28</v>
      </c>
      <c r="F46" s="164"/>
      <c r="G46" s="165" t="s">
        <v>179</v>
      </c>
    </row>
    <row r="47" spans="2:7" s="2" customFormat="1" ht="12.9" customHeight="1" x14ac:dyDescent="0.25">
      <c r="B47" s="125" t="s">
        <v>483</v>
      </c>
      <c r="C47" s="123" t="s">
        <v>484</v>
      </c>
      <c r="D47" s="124" t="s">
        <v>475</v>
      </c>
      <c r="E47" s="124">
        <v>28</v>
      </c>
      <c r="F47" s="164"/>
      <c r="G47" s="165" t="s">
        <v>179</v>
      </c>
    </row>
    <row r="48" spans="2:7" s="2" customFormat="1" ht="12.9" customHeight="1" x14ac:dyDescent="0.25">
      <c r="B48" s="125" t="s">
        <v>485</v>
      </c>
      <c r="C48" s="123" t="s">
        <v>486</v>
      </c>
      <c r="D48" s="124" t="s">
        <v>475</v>
      </c>
      <c r="E48" s="124">
        <v>28</v>
      </c>
      <c r="F48" s="164"/>
      <c r="G48" s="165" t="s">
        <v>179</v>
      </c>
    </row>
    <row r="49" spans="2:7" s="2" customFormat="1" ht="12.9" customHeight="1" x14ac:dyDescent="0.25">
      <c r="B49" s="125" t="s">
        <v>487</v>
      </c>
      <c r="C49" s="123" t="s">
        <v>488</v>
      </c>
      <c r="D49" s="124" t="s">
        <v>475</v>
      </c>
      <c r="E49" s="124">
        <v>28</v>
      </c>
      <c r="F49" s="164"/>
      <c r="G49" s="165" t="s">
        <v>179</v>
      </c>
    </row>
    <row r="50" spans="2:7" s="2" customFormat="1" ht="12.9" customHeight="1" x14ac:dyDescent="0.25">
      <c r="B50" s="126" t="s">
        <v>489</v>
      </c>
      <c r="C50" s="127" t="s">
        <v>490</v>
      </c>
      <c r="D50" s="128" t="s">
        <v>475</v>
      </c>
      <c r="E50" s="124">
        <v>28</v>
      </c>
      <c r="F50" s="166"/>
      <c r="G50" s="165" t="s">
        <v>179</v>
      </c>
    </row>
    <row r="51" spans="2:7" s="2" customFormat="1" ht="20.100000000000001" customHeight="1" x14ac:dyDescent="0.25">
      <c r="B51" s="575" t="s">
        <v>183</v>
      </c>
      <c r="C51" s="576"/>
      <c r="D51" s="576"/>
      <c r="E51" s="576"/>
      <c r="F51" s="577"/>
      <c r="G51" s="162" t="s">
        <v>179</v>
      </c>
    </row>
    <row r="52" spans="2:7" s="2" customFormat="1" ht="20.100000000000001" customHeight="1" x14ac:dyDescent="0.25">
      <c r="B52" s="600" t="s">
        <v>178</v>
      </c>
      <c r="C52" s="601"/>
      <c r="D52" s="601"/>
      <c r="E52" s="601"/>
      <c r="F52" s="602"/>
      <c r="G52" s="603"/>
    </row>
    <row r="53" spans="2:7" s="2" customFormat="1" x14ac:dyDescent="0.25"/>
    <row r="54" spans="2:7" s="2" customFormat="1" x14ac:dyDescent="0.25"/>
    <row r="55" spans="2:7" s="2" customFormat="1" x14ac:dyDescent="0.25"/>
    <row r="56" spans="2:7" s="2" customFormat="1" x14ac:dyDescent="0.25"/>
    <row r="57" spans="2:7" s="2" customFormat="1" x14ac:dyDescent="0.25"/>
    <row r="58" spans="2:7" s="2" customFormat="1" x14ac:dyDescent="0.25"/>
    <row r="59" spans="2:7" s="2" customFormat="1" x14ac:dyDescent="0.25"/>
    <row r="60" spans="2:7" s="2" customFormat="1" x14ac:dyDescent="0.25"/>
    <row r="61" spans="2:7" s="2" customFormat="1" x14ac:dyDescent="0.25"/>
    <row r="62" spans="2:7" s="2" customFormat="1" x14ac:dyDescent="0.25"/>
    <row r="63" spans="2:7" s="2" customFormat="1" x14ac:dyDescent="0.25"/>
    <row r="64" spans="2:7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  <row r="1113" s="2" customFormat="1" x14ac:dyDescent="0.25"/>
    <row r="1114" s="2" customFormat="1" x14ac:dyDescent="0.25"/>
    <row r="1115" s="2" customFormat="1" x14ac:dyDescent="0.25"/>
    <row r="1116" s="2" customFormat="1" x14ac:dyDescent="0.25"/>
    <row r="1117" s="2" customFormat="1" x14ac:dyDescent="0.25"/>
    <row r="1118" s="2" customFormat="1" x14ac:dyDescent="0.25"/>
    <row r="1119" s="2" customFormat="1" x14ac:dyDescent="0.25"/>
    <row r="1120" s="2" customFormat="1" x14ac:dyDescent="0.25"/>
    <row r="1121" s="2" customFormat="1" x14ac:dyDescent="0.25"/>
    <row r="1122" s="2" customFormat="1" x14ac:dyDescent="0.25"/>
    <row r="1123" s="2" customFormat="1" x14ac:dyDescent="0.25"/>
    <row r="1124" s="2" customFormat="1" x14ac:dyDescent="0.25"/>
    <row r="1125" s="2" customFormat="1" x14ac:dyDescent="0.25"/>
    <row r="1126" s="2" customFormat="1" x14ac:dyDescent="0.25"/>
    <row r="1127" s="2" customFormat="1" x14ac:dyDescent="0.25"/>
    <row r="1128" s="2" customFormat="1" x14ac:dyDescent="0.25"/>
    <row r="1129" s="2" customFormat="1" x14ac:dyDescent="0.25"/>
    <row r="1130" s="2" customFormat="1" x14ac:dyDescent="0.25"/>
    <row r="1131" s="2" customFormat="1" x14ac:dyDescent="0.25"/>
    <row r="1132" s="2" customFormat="1" x14ac:dyDescent="0.25"/>
    <row r="1133" s="2" customFormat="1" x14ac:dyDescent="0.25"/>
    <row r="1134" s="2" customFormat="1" x14ac:dyDescent="0.25"/>
    <row r="1135" s="2" customFormat="1" x14ac:dyDescent="0.25"/>
    <row r="1136" s="2" customFormat="1" x14ac:dyDescent="0.25"/>
    <row r="1137" s="2" customFormat="1" x14ac:dyDescent="0.25"/>
    <row r="1138" s="2" customFormat="1" x14ac:dyDescent="0.25"/>
    <row r="1139" s="2" customFormat="1" x14ac:dyDescent="0.25"/>
    <row r="1140" s="2" customFormat="1" x14ac:dyDescent="0.25"/>
    <row r="1141" s="2" customFormat="1" x14ac:dyDescent="0.25"/>
    <row r="1142" s="2" customFormat="1" x14ac:dyDescent="0.25"/>
    <row r="1143" s="2" customFormat="1" x14ac:dyDescent="0.25"/>
    <row r="1144" s="2" customFormat="1" x14ac:dyDescent="0.25"/>
    <row r="1145" s="2" customFormat="1" x14ac:dyDescent="0.25"/>
    <row r="1146" s="2" customFormat="1" x14ac:dyDescent="0.25"/>
    <row r="1147" s="2" customFormat="1" x14ac:dyDescent="0.25"/>
    <row r="1148" s="2" customFormat="1" x14ac:dyDescent="0.25"/>
    <row r="1149" s="2" customFormat="1" x14ac:dyDescent="0.25"/>
    <row r="1150" s="2" customFormat="1" x14ac:dyDescent="0.25"/>
    <row r="1151" s="2" customFormat="1" x14ac:dyDescent="0.25"/>
    <row r="1152" s="2" customFormat="1" x14ac:dyDescent="0.25"/>
    <row r="1153" s="2" customFormat="1" x14ac:dyDescent="0.25"/>
    <row r="1154" s="2" customFormat="1" x14ac:dyDescent="0.25"/>
    <row r="1155" s="2" customFormat="1" x14ac:dyDescent="0.25"/>
    <row r="1156" s="2" customFormat="1" x14ac:dyDescent="0.25"/>
    <row r="1157" s="2" customFormat="1" x14ac:dyDescent="0.25"/>
    <row r="1158" s="2" customFormat="1" x14ac:dyDescent="0.25"/>
    <row r="1159" s="2" customFormat="1" x14ac:dyDescent="0.25"/>
    <row r="1160" s="2" customFormat="1" x14ac:dyDescent="0.25"/>
    <row r="1161" s="2" customFormat="1" x14ac:dyDescent="0.25"/>
    <row r="1162" s="2" customFormat="1" x14ac:dyDescent="0.25"/>
    <row r="1163" s="2" customFormat="1" x14ac:dyDescent="0.25"/>
    <row r="1164" s="2" customFormat="1" x14ac:dyDescent="0.25"/>
    <row r="1165" s="2" customFormat="1" x14ac:dyDescent="0.25"/>
    <row r="1166" s="2" customFormat="1" x14ac:dyDescent="0.25"/>
    <row r="1167" s="2" customFormat="1" x14ac:dyDescent="0.25"/>
    <row r="1168" s="2" customFormat="1" x14ac:dyDescent="0.25"/>
    <row r="1169" s="2" customFormat="1" x14ac:dyDescent="0.25"/>
    <row r="1170" s="2" customFormat="1" x14ac:dyDescent="0.25"/>
    <row r="1171" s="2" customFormat="1" x14ac:dyDescent="0.25"/>
    <row r="1172" s="2" customFormat="1" x14ac:dyDescent="0.25"/>
    <row r="1173" s="2" customFormat="1" x14ac:dyDescent="0.25"/>
    <row r="1174" s="2" customFormat="1" x14ac:dyDescent="0.25"/>
    <row r="1175" s="2" customFormat="1" x14ac:dyDescent="0.25"/>
    <row r="1176" s="2" customFormat="1" x14ac:dyDescent="0.25"/>
    <row r="1177" s="2" customFormat="1" x14ac:dyDescent="0.25"/>
    <row r="1178" s="2" customFormat="1" x14ac:dyDescent="0.25"/>
    <row r="1179" s="2" customFormat="1" x14ac:dyDescent="0.25"/>
    <row r="1180" s="2" customFormat="1" x14ac:dyDescent="0.25"/>
    <row r="1181" s="2" customFormat="1" x14ac:dyDescent="0.25"/>
    <row r="1182" s="2" customFormat="1" x14ac:dyDescent="0.25"/>
    <row r="1183" s="2" customFormat="1" x14ac:dyDescent="0.25"/>
    <row r="1184" s="2" customFormat="1" x14ac:dyDescent="0.25"/>
    <row r="1185" s="2" customFormat="1" x14ac:dyDescent="0.25"/>
    <row r="1186" s="2" customFormat="1" x14ac:dyDescent="0.25"/>
    <row r="1187" s="2" customFormat="1" x14ac:dyDescent="0.25"/>
    <row r="1188" s="2" customFormat="1" x14ac:dyDescent="0.25"/>
    <row r="1189" s="2" customFormat="1" x14ac:dyDescent="0.25"/>
    <row r="1190" s="2" customFormat="1" x14ac:dyDescent="0.25"/>
    <row r="1191" s="2" customFormat="1" x14ac:dyDescent="0.25"/>
    <row r="1192" s="2" customFormat="1" x14ac:dyDescent="0.25"/>
    <row r="1193" s="2" customFormat="1" x14ac:dyDescent="0.25"/>
    <row r="1194" s="2" customFormat="1" x14ac:dyDescent="0.25"/>
    <row r="1195" s="2" customFormat="1" x14ac:dyDescent="0.25"/>
    <row r="1196" s="2" customFormat="1" x14ac:dyDescent="0.25"/>
    <row r="1197" s="2" customFormat="1" x14ac:dyDescent="0.25"/>
    <row r="1198" s="2" customFormat="1" x14ac:dyDescent="0.25"/>
    <row r="1199" s="2" customFormat="1" x14ac:dyDescent="0.25"/>
    <row r="1200" s="2" customFormat="1" x14ac:dyDescent="0.25"/>
    <row r="1201" s="2" customFormat="1" x14ac:dyDescent="0.25"/>
    <row r="1202" s="2" customFormat="1" x14ac:dyDescent="0.25"/>
    <row r="1203" s="2" customFormat="1" x14ac:dyDescent="0.25"/>
    <row r="1204" s="2" customFormat="1" x14ac:dyDescent="0.25"/>
    <row r="1205" s="2" customFormat="1" x14ac:dyDescent="0.25"/>
    <row r="1206" s="2" customFormat="1" x14ac:dyDescent="0.25"/>
    <row r="1207" s="2" customFormat="1" x14ac:dyDescent="0.25"/>
    <row r="1208" s="2" customFormat="1" x14ac:dyDescent="0.25"/>
    <row r="1209" s="2" customFormat="1" x14ac:dyDescent="0.25"/>
    <row r="1210" s="2" customFormat="1" x14ac:dyDescent="0.25"/>
    <row r="1211" s="2" customFormat="1" x14ac:dyDescent="0.25"/>
    <row r="1212" s="2" customFormat="1" x14ac:dyDescent="0.25"/>
    <row r="1213" s="2" customFormat="1" x14ac:dyDescent="0.25"/>
    <row r="1214" s="2" customFormat="1" x14ac:dyDescent="0.25"/>
    <row r="1215" s="2" customFormat="1" x14ac:dyDescent="0.25"/>
    <row r="1216" s="2" customFormat="1" x14ac:dyDescent="0.25"/>
    <row r="1217" s="2" customFormat="1" x14ac:dyDescent="0.25"/>
    <row r="1218" s="2" customFormat="1" x14ac:dyDescent="0.25"/>
    <row r="1219" s="2" customFormat="1" x14ac:dyDescent="0.25"/>
    <row r="1220" s="2" customFormat="1" x14ac:dyDescent="0.25"/>
    <row r="1221" s="2" customFormat="1" x14ac:dyDescent="0.25"/>
    <row r="1222" s="2" customFormat="1" x14ac:dyDescent="0.25"/>
    <row r="1223" s="2" customFormat="1" x14ac:dyDescent="0.25"/>
    <row r="1224" s="2" customFormat="1" x14ac:dyDescent="0.25"/>
    <row r="1225" s="2" customFormat="1" x14ac:dyDescent="0.25"/>
    <row r="1226" s="2" customFormat="1" x14ac:dyDescent="0.25"/>
    <row r="1227" s="2" customFormat="1" x14ac:dyDescent="0.25"/>
    <row r="1228" s="2" customFormat="1" x14ac:dyDescent="0.25"/>
    <row r="1229" s="2" customFormat="1" x14ac:dyDescent="0.25"/>
    <row r="1230" s="2" customFormat="1" x14ac:dyDescent="0.25"/>
    <row r="1231" s="2" customFormat="1" x14ac:dyDescent="0.25"/>
    <row r="1232" s="2" customFormat="1" x14ac:dyDescent="0.25"/>
    <row r="1233" s="2" customFormat="1" x14ac:dyDescent="0.25"/>
    <row r="1234" s="2" customFormat="1" x14ac:dyDescent="0.25"/>
    <row r="1235" s="2" customFormat="1" x14ac:dyDescent="0.25"/>
    <row r="1236" s="2" customFormat="1" x14ac:dyDescent="0.25"/>
    <row r="1237" s="2" customFormat="1" x14ac:dyDescent="0.25"/>
    <row r="1238" s="2" customFormat="1" x14ac:dyDescent="0.25"/>
    <row r="1239" s="2" customFormat="1" x14ac:dyDescent="0.25"/>
    <row r="1240" s="2" customFormat="1" x14ac:dyDescent="0.25"/>
    <row r="1241" s="2" customFormat="1" x14ac:dyDescent="0.25"/>
    <row r="1242" s="2" customFormat="1" x14ac:dyDescent="0.25"/>
    <row r="1243" s="2" customFormat="1" x14ac:dyDescent="0.25"/>
    <row r="1244" s="2" customFormat="1" x14ac:dyDescent="0.25"/>
    <row r="1245" s="2" customFormat="1" x14ac:dyDescent="0.25"/>
    <row r="1246" s="2" customFormat="1" x14ac:dyDescent="0.25"/>
    <row r="1247" s="2" customFormat="1" x14ac:dyDescent="0.25"/>
    <row r="1248" s="2" customFormat="1" x14ac:dyDescent="0.25"/>
    <row r="1249" s="2" customFormat="1" x14ac:dyDescent="0.25"/>
    <row r="1250" s="2" customFormat="1" x14ac:dyDescent="0.25"/>
    <row r="1251" s="2" customFormat="1" x14ac:dyDescent="0.25"/>
    <row r="1252" s="2" customFormat="1" x14ac:dyDescent="0.25"/>
    <row r="1253" s="2" customFormat="1" x14ac:dyDescent="0.25"/>
    <row r="1254" s="2" customFormat="1" x14ac:dyDescent="0.25"/>
    <row r="1255" s="2" customFormat="1" x14ac:dyDescent="0.25"/>
    <row r="1256" s="2" customFormat="1" x14ac:dyDescent="0.25"/>
    <row r="1257" s="2" customFormat="1" x14ac:dyDescent="0.25"/>
    <row r="1258" s="2" customFormat="1" x14ac:dyDescent="0.25"/>
    <row r="1259" s="2" customFormat="1" x14ac:dyDescent="0.25"/>
    <row r="1260" s="2" customFormat="1" x14ac:dyDescent="0.25"/>
    <row r="1261" s="2" customFormat="1" x14ac:dyDescent="0.25"/>
    <row r="1262" s="2" customFormat="1" x14ac:dyDescent="0.25"/>
    <row r="1263" s="2" customFormat="1" x14ac:dyDescent="0.25"/>
    <row r="1264" s="2" customFormat="1" x14ac:dyDescent="0.25"/>
    <row r="1265" s="2" customFormat="1" x14ac:dyDescent="0.25"/>
    <row r="1266" s="2" customFormat="1" x14ac:dyDescent="0.25"/>
    <row r="1267" s="2" customFormat="1" x14ac:dyDescent="0.25"/>
    <row r="1268" s="2" customFormat="1" x14ac:dyDescent="0.25"/>
    <row r="1269" s="2" customFormat="1" x14ac:dyDescent="0.25"/>
    <row r="1270" s="2" customFormat="1" x14ac:dyDescent="0.25"/>
    <row r="1271" s="2" customFormat="1" x14ac:dyDescent="0.25"/>
    <row r="1272" s="2" customFormat="1" x14ac:dyDescent="0.25"/>
    <row r="1273" s="2" customFormat="1" x14ac:dyDescent="0.25"/>
    <row r="1274" s="2" customFormat="1" x14ac:dyDescent="0.25"/>
    <row r="1275" s="2" customFormat="1" x14ac:dyDescent="0.25"/>
    <row r="1276" s="2" customFormat="1" x14ac:dyDescent="0.25"/>
    <row r="1277" s="2" customFormat="1" x14ac:dyDescent="0.25"/>
    <row r="1278" s="2" customFormat="1" x14ac:dyDescent="0.25"/>
    <row r="1279" s="2" customFormat="1" x14ac:dyDescent="0.25"/>
    <row r="1280" s="2" customFormat="1" x14ac:dyDescent="0.25"/>
    <row r="1281" s="2" customFormat="1" x14ac:dyDescent="0.25"/>
    <row r="1282" s="2" customFormat="1" x14ac:dyDescent="0.25"/>
    <row r="1283" s="2" customFormat="1" x14ac:dyDescent="0.25"/>
    <row r="1284" s="2" customFormat="1" x14ac:dyDescent="0.25"/>
    <row r="1285" s="2" customFormat="1" x14ac:dyDescent="0.25"/>
    <row r="1286" s="2" customFormat="1" x14ac:dyDescent="0.25"/>
    <row r="1287" s="2" customFormat="1" x14ac:dyDescent="0.25"/>
    <row r="1288" s="2" customFormat="1" x14ac:dyDescent="0.25"/>
    <row r="1289" s="2" customFormat="1" x14ac:dyDescent="0.25"/>
    <row r="1290" s="2" customFormat="1" x14ac:dyDescent="0.25"/>
    <row r="1291" s="2" customFormat="1" x14ac:dyDescent="0.25"/>
    <row r="1292" s="2" customFormat="1" x14ac:dyDescent="0.25"/>
    <row r="1293" s="2" customFormat="1" x14ac:dyDescent="0.25"/>
    <row r="1294" s="2" customFormat="1" x14ac:dyDescent="0.25"/>
    <row r="1295" s="2" customFormat="1" x14ac:dyDescent="0.25"/>
    <row r="1296" s="2" customFormat="1" x14ac:dyDescent="0.25"/>
    <row r="1297" s="2" customFormat="1" x14ac:dyDescent="0.25"/>
    <row r="1298" s="2" customFormat="1" x14ac:dyDescent="0.25"/>
    <row r="1299" s="2" customFormat="1" x14ac:dyDescent="0.25"/>
    <row r="1300" s="2" customFormat="1" x14ac:dyDescent="0.25"/>
    <row r="1301" s="2" customFormat="1" x14ac:dyDescent="0.25"/>
    <row r="1302" s="2" customFormat="1" x14ac:dyDescent="0.25"/>
    <row r="1303" s="2" customFormat="1" x14ac:dyDescent="0.25"/>
    <row r="1304" s="2" customFormat="1" x14ac:dyDescent="0.25"/>
    <row r="1305" s="2" customFormat="1" x14ac:dyDescent="0.25"/>
    <row r="1306" s="2" customFormat="1" x14ac:dyDescent="0.25"/>
    <row r="1307" s="2" customFormat="1" x14ac:dyDescent="0.25"/>
    <row r="1308" s="2" customFormat="1" x14ac:dyDescent="0.25"/>
    <row r="1309" s="2" customFormat="1" x14ac:dyDescent="0.25"/>
    <row r="1310" s="2" customFormat="1" x14ac:dyDescent="0.25"/>
    <row r="1311" s="2" customFormat="1" x14ac:dyDescent="0.25"/>
    <row r="1312" s="2" customFormat="1" x14ac:dyDescent="0.25"/>
    <row r="1313" s="2" customFormat="1" x14ac:dyDescent="0.25"/>
    <row r="1314" s="2" customFormat="1" x14ac:dyDescent="0.25"/>
    <row r="1315" s="2" customFormat="1" x14ac:dyDescent="0.25"/>
    <row r="1316" s="2" customFormat="1" x14ac:dyDescent="0.25"/>
    <row r="1317" s="2" customFormat="1" x14ac:dyDescent="0.25"/>
    <row r="1318" s="2" customFormat="1" x14ac:dyDescent="0.25"/>
    <row r="1319" s="2" customFormat="1" x14ac:dyDescent="0.25"/>
    <row r="1320" s="2" customFormat="1" x14ac:dyDescent="0.25"/>
    <row r="1321" s="2" customFormat="1" x14ac:dyDescent="0.25"/>
    <row r="1322" s="2" customFormat="1" x14ac:dyDescent="0.25"/>
    <row r="1323" s="2" customFormat="1" x14ac:dyDescent="0.25"/>
    <row r="1324" s="2" customFormat="1" x14ac:dyDescent="0.25"/>
    <row r="1325" s="2" customFormat="1" x14ac:dyDescent="0.25"/>
    <row r="1326" s="2" customFormat="1" x14ac:dyDescent="0.25"/>
    <row r="1327" s="2" customFormat="1" x14ac:dyDescent="0.25"/>
    <row r="1328" s="2" customFormat="1" x14ac:dyDescent="0.25"/>
    <row r="1329" s="2" customFormat="1" x14ac:dyDescent="0.25"/>
    <row r="1330" s="2" customFormat="1" x14ac:dyDescent="0.25"/>
    <row r="1331" s="2" customFormat="1" x14ac:dyDescent="0.25"/>
    <row r="1332" s="2" customFormat="1" x14ac:dyDescent="0.25"/>
    <row r="1333" s="2" customFormat="1" x14ac:dyDescent="0.25"/>
    <row r="1334" s="2" customFormat="1" x14ac:dyDescent="0.25"/>
    <row r="1335" s="2" customFormat="1" x14ac:dyDescent="0.25"/>
    <row r="1336" s="2" customFormat="1" x14ac:dyDescent="0.25"/>
    <row r="1337" s="2" customFormat="1" x14ac:dyDescent="0.25"/>
    <row r="1338" s="2" customFormat="1" x14ac:dyDescent="0.25"/>
    <row r="1339" s="2" customFormat="1" x14ac:dyDescent="0.25"/>
    <row r="1340" s="2" customFormat="1" x14ac:dyDescent="0.25"/>
    <row r="1341" s="2" customFormat="1" x14ac:dyDescent="0.25"/>
    <row r="1342" s="2" customFormat="1" x14ac:dyDescent="0.25"/>
    <row r="1343" s="2" customFormat="1" x14ac:dyDescent="0.25"/>
    <row r="1344" s="2" customFormat="1" x14ac:dyDescent="0.25"/>
    <row r="1345" s="2" customFormat="1" x14ac:dyDescent="0.25"/>
    <row r="1346" s="2" customFormat="1" x14ac:dyDescent="0.25"/>
    <row r="1347" s="2" customFormat="1" x14ac:dyDescent="0.25"/>
    <row r="1348" s="2" customFormat="1" x14ac:dyDescent="0.25"/>
    <row r="1349" s="2" customFormat="1" x14ac:dyDescent="0.25"/>
    <row r="1350" s="2" customFormat="1" x14ac:dyDescent="0.25"/>
    <row r="1351" s="2" customFormat="1" x14ac:dyDescent="0.25"/>
    <row r="1352" s="2" customFormat="1" x14ac:dyDescent="0.25"/>
    <row r="1353" s="2" customFormat="1" x14ac:dyDescent="0.25"/>
    <row r="1354" s="2" customFormat="1" x14ac:dyDescent="0.25"/>
    <row r="1355" s="2" customFormat="1" x14ac:dyDescent="0.25"/>
    <row r="1356" s="2" customFormat="1" x14ac:dyDescent="0.25"/>
    <row r="1357" s="2" customFormat="1" x14ac:dyDescent="0.25"/>
    <row r="1358" s="2" customFormat="1" x14ac:dyDescent="0.25"/>
    <row r="1359" s="2" customFormat="1" x14ac:dyDescent="0.25"/>
    <row r="1360" s="2" customFormat="1" x14ac:dyDescent="0.25"/>
    <row r="1361" s="2" customFormat="1" x14ac:dyDescent="0.25"/>
    <row r="1362" s="2" customFormat="1" x14ac:dyDescent="0.25"/>
    <row r="1363" s="2" customFormat="1" x14ac:dyDescent="0.25"/>
    <row r="1364" s="2" customFormat="1" x14ac:dyDescent="0.25"/>
    <row r="1365" s="2" customFormat="1" x14ac:dyDescent="0.25"/>
    <row r="1366" s="2" customFormat="1" x14ac:dyDescent="0.25"/>
    <row r="1367" s="2" customFormat="1" x14ac:dyDescent="0.25"/>
    <row r="1368" s="2" customFormat="1" x14ac:dyDescent="0.25"/>
    <row r="1369" s="2" customFormat="1" x14ac:dyDescent="0.25"/>
    <row r="1370" s="2" customFormat="1" x14ac:dyDescent="0.25"/>
    <row r="1371" s="2" customFormat="1" x14ac:dyDescent="0.25"/>
    <row r="1372" s="2" customFormat="1" x14ac:dyDescent="0.25"/>
    <row r="1373" s="2" customFormat="1" x14ac:dyDescent="0.25"/>
    <row r="1374" s="2" customFormat="1" x14ac:dyDescent="0.25"/>
    <row r="1375" s="2" customFormat="1" x14ac:dyDescent="0.25"/>
    <row r="1376" s="2" customFormat="1" x14ac:dyDescent="0.25"/>
    <row r="1377" s="2" customFormat="1" x14ac:dyDescent="0.25"/>
    <row r="1378" s="2" customFormat="1" x14ac:dyDescent="0.25"/>
    <row r="1379" s="2" customFormat="1" x14ac:dyDescent="0.25"/>
    <row r="1380" s="2" customFormat="1" x14ac:dyDescent="0.25"/>
    <row r="1381" s="2" customFormat="1" x14ac:dyDescent="0.25"/>
    <row r="1382" s="2" customFormat="1" x14ac:dyDescent="0.25"/>
    <row r="1383" s="2" customFormat="1" x14ac:dyDescent="0.25"/>
    <row r="1384" s="2" customFormat="1" x14ac:dyDescent="0.25"/>
    <row r="1385" s="2" customFormat="1" x14ac:dyDescent="0.25"/>
    <row r="1386" s="2" customFormat="1" x14ac:dyDescent="0.25"/>
    <row r="1387" s="2" customFormat="1" x14ac:dyDescent="0.25"/>
    <row r="1388" s="2" customFormat="1" x14ac:dyDescent="0.25"/>
    <row r="1389" s="2" customFormat="1" x14ac:dyDescent="0.25"/>
    <row r="1390" s="2" customFormat="1" x14ac:dyDescent="0.25"/>
    <row r="1391" s="2" customFormat="1" x14ac:dyDescent="0.25"/>
    <row r="1392" s="2" customFormat="1" x14ac:dyDescent="0.25"/>
    <row r="1393" s="2" customFormat="1" x14ac:dyDescent="0.25"/>
    <row r="1394" s="2" customFormat="1" x14ac:dyDescent="0.25"/>
    <row r="1395" s="2" customFormat="1" x14ac:dyDescent="0.25"/>
    <row r="1396" s="2" customFormat="1" x14ac:dyDescent="0.25"/>
    <row r="1397" s="2" customFormat="1" x14ac:dyDescent="0.25"/>
    <row r="1398" s="2" customFormat="1" x14ac:dyDescent="0.25"/>
    <row r="1399" s="2" customFormat="1" x14ac:dyDescent="0.25"/>
    <row r="1400" s="2" customFormat="1" x14ac:dyDescent="0.25"/>
    <row r="1401" s="2" customFormat="1" x14ac:dyDescent="0.25"/>
    <row r="1402" s="2" customFormat="1" x14ac:dyDescent="0.25"/>
    <row r="1403" s="2" customFormat="1" x14ac:dyDescent="0.25"/>
    <row r="1404" s="2" customFormat="1" x14ac:dyDescent="0.25"/>
    <row r="1405" s="2" customFormat="1" x14ac:dyDescent="0.25"/>
    <row r="1406" s="2" customFormat="1" x14ac:dyDescent="0.25"/>
    <row r="1407" s="2" customFormat="1" x14ac:dyDescent="0.25"/>
    <row r="1408" s="2" customFormat="1" x14ac:dyDescent="0.25"/>
    <row r="1409" s="2" customFormat="1" x14ac:dyDescent="0.25"/>
    <row r="1410" s="2" customFormat="1" x14ac:dyDescent="0.25"/>
    <row r="1411" s="2" customFormat="1" x14ac:dyDescent="0.25"/>
    <row r="1412" s="2" customFormat="1" x14ac:dyDescent="0.25"/>
    <row r="1413" s="2" customFormat="1" x14ac:dyDescent="0.25"/>
    <row r="1414" s="2" customFormat="1" x14ac:dyDescent="0.25"/>
    <row r="1415" s="2" customFormat="1" x14ac:dyDescent="0.25"/>
    <row r="1416" s="2" customFormat="1" x14ac:dyDescent="0.25"/>
    <row r="1417" s="2" customFormat="1" x14ac:dyDescent="0.25"/>
    <row r="1418" s="2" customFormat="1" x14ac:dyDescent="0.25"/>
    <row r="1419" s="2" customFormat="1" x14ac:dyDescent="0.25"/>
    <row r="1420" s="2" customFormat="1" x14ac:dyDescent="0.25"/>
    <row r="1421" s="2" customFormat="1" x14ac:dyDescent="0.25"/>
    <row r="1422" s="2" customFormat="1" x14ac:dyDescent="0.25"/>
    <row r="1423" s="2" customFormat="1" x14ac:dyDescent="0.25"/>
    <row r="1424" s="2" customFormat="1" x14ac:dyDescent="0.25"/>
    <row r="1425" s="2" customFormat="1" x14ac:dyDescent="0.25"/>
    <row r="1426" s="2" customFormat="1" x14ac:dyDescent="0.25"/>
    <row r="1427" s="2" customFormat="1" x14ac:dyDescent="0.25"/>
    <row r="1428" s="2" customFormat="1" x14ac:dyDescent="0.25"/>
    <row r="1429" s="2" customFormat="1" x14ac:dyDescent="0.25"/>
    <row r="1430" s="2" customFormat="1" x14ac:dyDescent="0.25"/>
    <row r="1431" s="2" customFormat="1" x14ac:dyDescent="0.25"/>
    <row r="1432" s="2" customFormat="1" x14ac:dyDescent="0.25"/>
    <row r="1433" s="2" customFormat="1" x14ac:dyDescent="0.25"/>
    <row r="1434" s="2" customFormat="1" x14ac:dyDescent="0.25"/>
    <row r="1435" s="2" customFormat="1" x14ac:dyDescent="0.25"/>
    <row r="1436" s="2" customFormat="1" x14ac:dyDescent="0.25"/>
    <row r="1437" s="2" customFormat="1" x14ac:dyDescent="0.25"/>
    <row r="1438" s="2" customFormat="1" x14ac:dyDescent="0.25"/>
    <row r="1439" s="2" customFormat="1" x14ac:dyDescent="0.25"/>
    <row r="1440" s="2" customFormat="1" x14ac:dyDescent="0.25"/>
    <row r="1441" s="2" customFormat="1" x14ac:dyDescent="0.25"/>
    <row r="1442" s="2" customFormat="1" x14ac:dyDescent="0.25"/>
    <row r="1443" s="2" customFormat="1" x14ac:dyDescent="0.25"/>
    <row r="1444" s="2" customFormat="1" x14ac:dyDescent="0.25"/>
    <row r="1445" s="2" customFormat="1" x14ac:dyDescent="0.25"/>
    <row r="1446" s="2" customFormat="1" x14ac:dyDescent="0.25"/>
    <row r="1447" s="2" customFormat="1" x14ac:dyDescent="0.25"/>
    <row r="1448" s="2" customFormat="1" x14ac:dyDescent="0.25"/>
    <row r="1449" s="2" customFormat="1" x14ac:dyDescent="0.25"/>
    <row r="1450" s="2" customFormat="1" x14ac:dyDescent="0.25"/>
    <row r="1451" s="2" customFormat="1" x14ac:dyDescent="0.25"/>
    <row r="1452" s="2" customFormat="1" x14ac:dyDescent="0.25"/>
    <row r="1453" s="2" customFormat="1" x14ac:dyDescent="0.25"/>
    <row r="1454" s="2" customFormat="1" x14ac:dyDescent="0.25"/>
    <row r="1455" s="2" customFormat="1" x14ac:dyDescent="0.25"/>
    <row r="1456" s="2" customFormat="1" x14ac:dyDescent="0.25"/>
    <row r="1457" s="2" customFormat="1" x14ac:dyDescent="0.25"/>
    <row r="1458" s="2" customFormat="1" x14ac:dyDescent="0.25"/>
    <row r="1459" s="2" customFormat="1" x14ac:dyDescent="0.25"/>
    <row r="1460" s="2" customFormat="1" x14ac:dyDescent="0.25"/>
    <row r="1461" s="2" customFormat="1" x14ac:dyDescent="0.25"/>
    <row r="1462" s="2" customFormat="1" x14ac:dyDescent="0.25"/>
    <row r="1463" s="2" customFormat="1" x14ac:dyDescent="0.25"/>
    <row r="1464" s="2" customFormat="1" x14ac:dyDescent="0.25"/>
    <row r="1465" s="2" customFormat="1" x14ac:dyDescent="0.25"/>
    <row r="1466" s="2" customFormat="1" x14ac:dyDescent="0.25"/>
    <row r="1467" s="2" customFormat="1" x14ac:dyDescent="0.25"/>
    <row r="1468" s="2" customFormat="1" x14ac:dyDescent="0.25"/>
    <row r="1469" s="2" customFormat="1" x14ac:dyDescent="0.25"/>
    <row r="1470" s="2" customFormat="1" x14ac:dyDescent="0.25"/>
    <row r="1471" s="2" customFormat="1" x14ac:dyDescent="0.25"/>
    <row r="1472" s="2" customFormat="1" x14ac:dyDescent="0.25"/>
    <row r="1473" s="2" customFormat="1" x14ac:dyDescent="0.25"/>
    <row r="1474" s="2" customFormat="1" x14ac:dyDescent="0.25"/>
    <row r="1475" s="2" customFormat="1" x14ac:dyDescent="0.25"/>
    <row r="1476" s="2" customFormat="1" x14ac:dyDescent="0.25"/>
    <row r="1477" s="2" customFormat="1" x14ac:dyDescent="0.25"/>
    <row r="1478" s="2" customFormat="1" x14ac:dyDescent="0.25"/>
    <row r="1479" s="2" customFormat="1" x14ac:dyDescent="0.25"/>
    <row r="1480" s="2" customFormat="1" x14ac:dyDescent="0.25"/>
    <row r="1481" s="2" customFormat="1" x14ac:dyDescent="0.25"/>
    <row r="1482" s="2" customFormat="1" x14ac:dyDescent="0.25"/>
    <row r="1483" s="2" customFormat="1" x14ac:dyDescent="0.25"/>
    <row r="1484" s="2" customFormat="1" x14ac:dyDescent="0.25"/>
    <row r="1485" s="2" customFormat="1" x14ac:dyDescent="0.25"/>
    <row r="1486" s="2" customFormat="1" x14ac:dyDescent="0.25"/>
    <row r="1487" s="2" customFormat="1" x14ac:dyDescent="0.25"/>
    <row r="1488" s="2" customFormat="1" x14ac:dyDescent="0.25"/>
    <row r="1489" s="2" customFormat="1" x14ac:dyDescent="0.25"/>
    <row r="1490" s="2" customFormat="1" x14ac:dyDescent="0.25"/>
    <row r="1491" s="2" customFormat="1" x14ac:dyDescent="0.25"/>
    <row r="1492" s="2" customFormat="1" x14ac:dyDescent="0.25"/>
    <row r="1493" s="2" customFormat="1" x14ac:dyDescent="0.25"/>
    <row r="1494" s="2" customFormat="1" x14ac:dyDescent="0.25"/>
    <row r="1495" s="2" customFormat="1" x14ac:dyDescent="0.25"/>
    <row r="1496" s="2" customFormat="1" x14ac:dyDescent="0.25"/>
    <row r="1497" s="2" customFormat="1" x14ac:dyDescent="0.25"/>
    <row r="1498" s="2" customFormat="1" x14ac:dyDescent="0.25"/>
    <row r="1499" s="2" customFormat="1" x14ac:dyDescent="0.25"/>
    <row r="1500" s="2" customFormat="1" x14ac:dyDescent="0.25"/>
    <row r="1501" s="2" customFormat="1" x14ac:dyDescent="0.25"/>
    <row r="1502" s="2" customFormat="1" x14ac:dyDescent="0.25"/>
    <row r="1503" s="2" customFormat="1" x14ac:dyDescent="0.25"/>
    <row r="1504" s="2" customFormat="1" x14ac:dyDescent="0.25"/>
    <row r="1505" s="2" customFormat="1" x14ac:dyDescent="0.25"/>
    <row r="1506" s="2" customFormat="1" x14ac:dyDescent="0.25"/>
    <row r="1507" s="2" customFormat="1" x14ac:dyDescent="0.25"/>
    <row r="1508" s="2" customFormat="1" x14ac:dyDescent="0.25"/>
    <row r="1509" s="2" customFormat="1" x14ac:dyDescent="0.25"/>
    <row r="1510" s="2" customFormat="1" x14ac:dyDescent="0.25"/>
    <row r="1511" s="2" customFormat="1" x14ac:dyDescent="0.25"/>
    <row r="1512" s="2" customFormat="1" x14ac:dyDescent="0.25"/>
    <row r="1513" s="2" customFormat="1" x14ac:dyDescent="0.25"/>
    <row r="1514" s="2" customFormat="1" x14ac:dyDescent="0.25"/>
    <row r="1515" s="2" customFormat="1" x14ac:dyDescent="0.25"/>
    <row r="1516" s="2" customFormat="1" x14ac:dyDescent="0.25"/>
    <row r="1517" s="2" customFormat="1" x14ac:dyDescent="0.25"/>
    <row r="1518" s="2" customFormat="1" x14ac:dyDescent="0.25"/>
    <row r="1519" s="2" customFormat="1" x14ac:dyDescent="0.25"/>
    <row r="1520" s="2" customFormat="1" x14ac:dyDescent="0.25"/>
    <row r="1521" s="2" customFormat="1" x14ac:dyDescent="0.25"/>
    <row r="1522" s="2" customFormat="1" x14ac:dyDescent="0.25"/>
    <row r="1523" s="2" customFormat="1" x14ac:dyDescent="0.25"/>
    <row r="1524" s="2" customFormat="1" x14ac:dyDescent="0.25"/>
    <row r="1525" s="2" customFormat="1" x14ac:dyDescent="0.25"/>
    <row r="1526" s="2" customFormat="1" x14ac:dyDescent="0.25"/>
    <row r="1527" s="2" customFormat="1" x14ac:dyDescent="0.25"/>
    <row r="1528" s="2" customFormat="1" x14ac:dyDescent="0.25"/>
    <row r="1529" s="2" customFormat="1" x14ac:dyDescent="0.25"/>
    <row r="1530" s="2" customFormat="1" x14ac:dyDescent="0.25"/>
    <row r="1531" s="2" customFormat="1" x14ac:dyDescent="0.25"/>
    <row r="1532" s="2" customFormat="1" x14ac:dyDescent="0.25"/>
    <row r="1533" s="2" customFormat="1" x14ac:dyDescent="0.25"/>
    <row r="1534" s="2" customFormat="1" x14ac:dyDescent="0.25"/>
    <row r="1535" s="2" customFormat="1" x14ac:dyDescent="0.25"/>
    <row r="1536" s="2" customFormat="1" x14ac:dyDescent="0.25"/>
    <row r="1537" s="2" customFormat="1" x14ac:dyDescent="0.25"/>
    <row r="1538" s="2" customFormat="1" x14ac:dyDescent="0.25"/>
    <row r="1539" s="2" customFormat="1" x14ac:dyDescent="0.25"/>
    <row r="1540" s="2" customFormat="1" x14ac:dyDescent="0.25"/>
    <row r="1541" s="2" customFormat="1" x14ac:dyDescent="0.25"/>
    <row r="1542" s="2" customFormat="1" x14ac:dyDescent="0.25"/>
    <row r="1543" s="2" customFormat="1" x14ac:dyDescent="0.25"/>
    <row r="1544" s="2" customFormat="1" x14ac:dyDescent="0.25"/>
    <row r="1545" s="2" customFormat="1" x14ac:dyDescent="0.25"/>
    <row r="1546" s="2" customFormat="1" x14ac:dyDescent="0.25"/>
    <row r="1547" s="2" customFormat="1" x14ac:dyDescent="0.25"/>
    <row r="1548" s="2" customFormat="1" x14ac:dyDescent="0.25"/>
    <row r="1549" s="2" customFormat="1" x14ac:dyDescent="0.25"/>
    <row r="1550" s="2" customFormat="1" x14ac:dyDescent="0.25"/>
    <row r="1551" s="2" customFormat="1" x14ac:dyDescent="0.25"/>
    <row r="1552" s="2" customFormat="1" x14ac:dyDescent="0.25"/>
    <row r="1553" s="2" customFormat="1" x14ac:dyDescent="0.25"/>
    <row r="1554" s="2" customFormat="1" x14ac:dyDescent="0.25"/>
    <row r="1555" s="2" customFormat="1" x14ac:dyDescent="0.25"/>
    <row r="1556" s="2" customFormat="1" x14ac:dyDescent="0.25"/>
    <row r="1557" s="2" customFormat="1" x14ac:dyDescent="0.25"/>
    <row r="1558" s="2" customFormat="1" x14ac:dyDescent="0.25"/>
    <row r="1559" s="2" customFormat="1" x14ac:dyDescent="0.25"/>
    <row r="1560" s="2" customFormat="1" x14ac:dyDescent="0.25"/>
    <row r="1561" s="2" customFormat="1" x14ac:dyDescent="0.25"/>
    <row r="1562" s="2" customFormat="1" x14ac:dyDescent="0.25"/>
    <row r="1563" s="2" customFormat="1" x14ac:dyDescent="0.25"/>
    <row r="1564" s="2" customFormat="1" x14ac:dyDescent="0.25"/>
    <row r="1565" s="2" customFormat="1" x14ac:dyDescent="0.25"/>
    <row r="1566" s="2" customFormat="1" x14ac:dyDescent="0.25"/>
    <row r="1567" s="2" customFormat="1" x14ac:dyDescent="0.25"/>
    <row r="1568" s="2" customFormat="1" x14ac:dyDescent="0.25"/>
    <row r="1569" s="2" customFormat="1" x14ac:dyDescent="0.25"/>
    <row r="1570" s="2" customFormat="1" x14ac:dyDescent="0.25"/>
    <row r="1571" s="2" customFormat="1" x14ac:dyDescent="0.25"/>
    <row r="1572" s="2" customFormat="1" x14ac:dyDescent="0.25"/>
    <row r="1573" s="2" customFormat="1" x14ac:dyDescent="0.25"/>
    <row r="1574" s="2" customFormat="1" x14ac:dyDescent="0.25"/>
    <row r="1575" s="2" customFormat="1" x14ac:dyDescent="0.25"/>
    <row r="1576" s="2" customFormat="1" x14ac:dyDescent="0.25"/>
    <row r="1577" s="2" customFormat="1" x14ac:dyDescent="0.25"/>
    <row r="1578" s="2" customFormat="1" x14ac:dyDescent="0.25"/>
    <row r="1579" s="2" customFormat="1" x14ac:dyDescent="0.25"/>
    <row r="1580" s="2" customFormat="1" x14ac:dyDescent="0.25"/>
    <row r="1581" s="2" customFormat="1" x14ac:dyDescent="0.25"/>
    <row r="1582" s="2" customFormat="1" x14ac:dyDescent="0.25"/>
    <row r="1583" s="2" customFormat="1" x14ac:dyDescent="0.25"/>
    <row r="1584" s="2" customFormat="1" x14ac:dyDescent="0.25"/>
    <row r="1585" s="2" customFormat="1" x14ac:dyDescent="0.25"/>
    <row r="1586" s="2" customFormat="1" x14ac:dyDescent="0.25"/>
    <row r="1587" s="2" customFormat="1" x14ac:dyDescent="0.25"/>
    <row r="1588" s="2" customFormat="1" x14ac:dyDescent="0.25"/>
    <row r="1589" s="2" customFormat="1" x14ac:dyDescent="0.25"/>
    <row r="1590" s="2" customFormat="1" x14ac:dyDescent="0.25"/>
    <row r="1591" s="2" customFormat="1" x14ac:dyDescent="0.25"/>
    <row r="1592" s="2" customFormat="1" x14ac:dyDescent="0.25"/>
    <row r="1593" s="2" customFormat="1" x14ac:dyDescent="0.25"/>
    <row r="1594" s="2" customFormat="1" x14ac:dyDescent="0.25"/>
    <row r="1595" s="2" customFormat="1" x14ac:dyDescent="0.25"/>
    <row r="1596" s="2" customFormat="1" x14ac:dyDescent="0.25"/>
    <row r="1597" s="2" customFormat="1" x14ac:dyDescent="0.25"/>
    <row r="1598" s="2" customFormat="1" x14ac:dyDescent="0.25"/>
    <row r="1599" s="2" customFormat="1" x14ac:dyDescent="0.25"/>
    <row r="1600" s="2" customFormat="1" x14ac:dyDescent="0.25"/>
    <row r="1601" s="2" customFormat="1" x14ac:dyDescent="0.25"/>
    <row r="1602" s="2" customFormat="1" x14ac:dyDescent="0.25"/>
    <row r="1603" s="2" customFormat="1" x14ac:dyDescent="0.25"/>
    <row r="1604" s="2" customFormat="1" x14ac:dyDescent="0.25"/>
    <row r="1605" s="2" customFormat="1" x14ac:dyDescent="0.25"/>
    <row r="1606" s="2" customFormat="1" x14ac:dyDescent="0.25"/>
    <row r="1607" s="2" customFormat="1" x14ac:dyDescent="0.25"/>
    <row r="1608" s="2" customFormat="1" x14ac:dyDescent="0.25"/>
    <row r="1609" s="2" customFormat="1" x14ac:dyDescent="0.25"/>
    <row r="1610" s="2" customFormat="1" x14ac:dyDescent="0.25"/>
    <row r="1611" s="2" customFormat="1" x14ac:dyDescent="0.25"/>
    <row r="1612" s="2" customFormat="1" x14ac:dyDescent="0.25"/>
    <row r="1613" s="2" customFormat="1" x14ac:dyDescent="0.25"/>
    <row r="1614" s="2" customFormat="1" x14ac:dyDescent="0.25"/>
    <row r="1615" s="2" customFormat="1" x14ac:dyDescent="0.25"/>
    <row r="1616" s="2" customFormat="1" x14ac:dyDescent="0.25"/>
    <row r="1617" s="2" customFormat="1" x14ac:dyDescent="0.25"/>
    <row r="1618" s="2" customFormat="1" x14ac:dyDescent="0.25"/>
    <row r="1619" s="2" customFormat="1" x14ac:dyDescent="0.25"/>
    <row r="1620" s="2" customFormat="1" x14ac:dyDescent="0.25"/>
    <row r="1621" s="2" customFormat="1" x14ac:dyDescent="0.25"/>
    <row r="1622" s="2" customFormat="1" x14ac:dyDescent="0.25"/>
    <row r="1623" s="2" customFormat="1" x14ac:dyDescent="0.25"/>
    <row r="1624" s="2" customFormat="1" x14ac:dyDescent="0.25"/>
    <row r="1625" s="2" customFormat="1" x14ac:dyDescent="0.25"/>
    <row r="1626" s="2" customFormat="1" x14ac:dyDescent="0.25"/>
    <row r="1627" s="2" customFormat="1" x14ac:dyDescent="0.25"/>
    <row r="1628" s="2" customFormat="1" x14ac:dyDescent="0.25"/>
    <row r="1629" s="2" customFormat="1" x14ac:dyDescent="0.25"/>
    <row r="1630" s="2" customFormat="1" x14ac:dyDescent="0.25"/>
    <row r="1631" s="2" customFormat="1" x14ac:dyDescent="0.25"/>
    <row r="1632" s="2" customFormat="1" x14ac:dyDescent="0.25"/>
    <row r="1633" s="2" customFormat="1" x14ac:dyDescent="0.25"/>
    <row r="1634" s="2" customFormat="1" x14ac:dyDescent="0.25"/>
    <row r="1635" s="2" customFormat="1" x14ac:dyDescent="0.25"/>
    <row r="1636" s="2" customFormat="1" x14ac:dyDescent="0.25"/>
    <row r="1637" s="2" customFormat="1" x14ac:dyDescent="0.25"/>
    <row r="1638" s="2" customFormat="1" x14ac:dyDescent="0.25"/>
    <row r="1639" s="2" customFormat="1" x14ac:dyDescent="0.25"/>
    <row r="1640" s="2" customFormat="1" x14ac:dyDescent="0.25"/>
    <row r="1641" s="2" customFormat="1" x14ac:dyDescent="0.25"/>
    <row r="1642" s="2" customFormat="1" x14ac:dyDescent="0.25"/>
    <row r="1643" s="2" customFormat="1" x14ac:dyDescent="0.25"/>
    <row r="1644" s="2" customFormat="1" x14ac:dyDescent="0.25"/>
    <row r="1645" s="2" customFormat="1" x14ac:dyDescent="0.25"/>
    <row r="1646" s="2" customFormat="1" x14ac:dyDescent="0.25"/>
    <row r="1647" s="2" customFormat="1" x14ac:dyDescent="0.25"/>
    <row r="1648" s="2" customFormat="1" x14ac:dyDescent="0.25"/>
    <row r="1649" s="2" customFormat="1" x14ac:dyDescent="0.25"/>
    <row r="1650" s="2" customFormat="1" x14ac:dyDescent="0.25"/>
    <row r="1651" s="2" customFormat="1" x14ac:dyDescent="0.25"/>
    <row r="1652" s="2" customFormat="1" x14ac:dyDescent="0.25"/>
    <row r="1653" s="2" customFormat="1" x14ac:dyDescent="0.25"/>
    <row r="1654" s="2" customFormat="1" x14ac:dyDescent="0.25"/>
    <row r="1655" s="2" customFormat="1" x14ac:dyDescent="0.25"/>
    <row r="1656" s="2" customFormat="1" x14ac:dyDescent="0.25"/>
    <row r="1657" s="2" customFormat="1" x14ac:dyDescent="0.25"/>
    <row r="1658" s="2" customFormat="1" x14ac:dyDescent="0.25"/>
    <row r="1659" s="2" customFormat="1" x14ac:dyDescent="0.25"/>
    <row r="1660" s="2" customFormat="1" x14ac:dyDescent="0.25"/>
    <row r="1661" s="2" customFormat="1" x14ac:dyDescent="0.25"/>
    <row r="1662" s="2" customFormat="1" x14ac:dyDescent="0.25"/>
    <row r="1663" s="2" customFormat="1" x14ac:dyDescent="0.25"/>
    <row r="1664" s="2" customFormat="1" x14ac:dyDescent="0.25"/>
    <row r="1665" s="2" customFormat="1" x14ac:dyDescent="0.25"/>
    <row r="1666" s="2" customFormat="1" x14ac:dyDescent="0.25"/>
    <row r="1667" s="2" customFormat="1" x14ac:dyDescent="0.25"/>
    <row r="1668" s="2" customFormat="1" x14ac:dyDescent="0.25"/>
    <row r="1669" s="2" customFormat="1" x14ac:dyDescent="0.25"/>
    <row r="1670" s="2" customFormat="1" x14ac:dyDescent="0.25"/>
    <row r="1671" s="2" customFormat="1" x14ac:dyDescent="0.25"/>
    <row r="1672" s="2" customFormat="1" x14ac:dyDescent="0.25"/>
    <row r="1673" s="2" customFormat="1" x14ac:dyDescent="0.25"/>
    <row r="1674" s="2" customFormat="1" x14ac:dyDescent="0.25"/>
    <row r="1675" s="2" customFormat="1" x14ac:dyDescent="0.25"/>
    <row r="1676" s="2" customFormat="1" x14ac:dyDescent="0.25"/>
    <row r="1677" s="2" customFormat="1" x14ac:dyDescent="0.25"/>
    <row r="1678" s="2" customFormat="1" x14ac:dyDescent="0.25"/>
    <row r="1679" s="2" customFormat="1" x14ac:dyDescent="0.25"/>
    <row r="1680" s="2" customFormat="1" x14ac:dyDescent="0.25"/>
    <row r="1681" s="2" customFormat="1" x14ac:dyDescent="0.25"/>
    <row r="1682" s="2" customFormat="1" x14ac:dyDescent="0.25"/>
    <row r="1683" s="2" customFormat="1" x14ac:dyDescent="0.25"/>
    <row r="1684" s="2" customFormat="1" x14ac:dyDescent="0.25"/>
    <row r="1685" s="2" customFormat="1" x14ac:dyDescent="0.25"/>
    <row r="1686" s="2" customFormat="1" x14ac:dyDescent="0.25"/>
    <row r="1687" s="2" customFormat="1" x14ac:dyDescent="0.25"/>
    <row r="1688" s="2" customFormat="1" x14ac:dyDescent="0.25"/>
    <row r="1689" s="2" customFormat="1" x14ac:dyDescent="0.25"/>
    <row r="1690" s="2" customFormat="1" x14ac:dyDescent="0.25"/>
    <row r="1691" s="2" customFormat="1" x14ac:dyDescent="0.25"/>
    <row r="1692" s="2" customFormat="1" x14ac:dyDescent="0.25"/>
    <row r="1693" s="2" customFormat="1" x14ac:dyDescent="0.25"/>
    <row r="1694" s="2" customFormat="1" x14ac:dyDescent="0.25"/>
    <row r="1695" s="2" customFormat="1" x14ac:dyDescent="0.25"/>
    <row r="1696" s="2" customFormat="1" x14ac:dyDescent="0.25"/>
    <row r="1697" s="2" customFormat="1" x14ac:dyDescent="0.25"/>
    <row r="1698" s="2" customFormat="1" x14ac:dyDescent="0.25"/>
    <row r="1699" s="2" customFormat="1" x14ac:dyDescent="0.25"/>
    <row r="1700" s="2" customFormat="1" x14ac:dyDescent="0.25"/>
    <row r="1701" s="2" customFormat="1" x14ac:dyDescent="0.25"/>
    <row r="1702" s="2" customFormat="1" x14ac:dyDescent="0.25"/>
    <row r="1703" s="2" customFormat="1" x14ac:dyDescent="0.25"/>
    <row r="1704" s="2" customFormat="1" x14ac:dyDescent="0.25"/>
    <row r="1705" s="2" customFormat="1" x14ac:dyDescent="0.25"/>
    <row r="1706" s="2" customFormat="1" x14ac:dyDescent="0.25"/>
    <row r="1707" s="2" customFormat="1" x14ac:dyDescent="0.25"/>
    <row r="1708" s="2" customFormat="1" x14ac:dyDescent="0.25"/>
    <row r="1709" s="2" customFormat="1" x14ac:dyDescent="0.25"/>
    <row r="1710" s="2" customFormat="1" x14ac:dyDescent="0.25"/>
    <row r="1711" s="2" customFormat="1" x14ac:dyDescent="0.25"/>
    <row r="1712" s="2" customFormat="1" x14ac:dyDescent="0.25"/>
    <row r="1713" s="2" customFormat="1" x14ac:dyDescent="0.25"/>
    <row r="1714" s="2" customFormat="1" x14ac:dyDescent="0.25"/>
    <row r="1715" s="2" customFormat="1" x14ac:dyDescent="0.25"/>
    <row r="1716" s="2" customFormat="1" x14ac:dyDescent="0.25"/>
    <row r="1717" s="2" customFormat="1" x14ac:dyDescent="0.25"/>
    <row r="1718" s="2" customFormat="1" x14ac:dyDescent="0.25"/>
    <row r="1719" s="2" customFormat="1" x14ac:dyDescent="0.25"/>
    <row r="1720" s="2" customFormat="1" x14ac:dyDescent="0.25"/>
    <row r="1721" s="2" customFormat="1" x14ac:dyDescent="0.25"/>
    <row r="1722" s="2" customFormat="1" x14ac:dyDescent="0.25"/>
    <row r="1723" s="2" customFormat="1" x14ac:dyDescent="0.25"/>
    <row r="1724" s="2" customFormat="1" x14ac:dyDescent="0.25"/>
    <row r="1725" s="2" customFormat="1" x14ac:dyDescent="0.25"/>
    <row r="1726" s="2" customFormat="1" x14ac:dyDescent="0.25"/>
    <row r="1727" s="2" customFormat="1" x14ac:dyDescent="0.25"/>
    <row r="1728" s="2" customFormat="1" x14ac:dyDescent="0.25"/>
    <row r="1729" s="2" customFormat="1" x14ac:dyDescent="0.25"/>
    <row r="1730" s="2" customFormat="1" x14ac:dyDescent="0.25"/>
    <row r="1731" s="2" customFormat="1" x14ac:dyDescent="0.25"/>
    <row r="1732" s="2" customFormat="1" x14ac:dyDescent="0.25"/>
    <row r="1733" s="2" customFormat="1" x14ac:dyDescent="0.25"/>
    <row r="1734" s="2" customFormat="1" x14ac:dyDescent="0.25"/>
    <row r="1735" s="2" customFormat="1" x14ac:dyDescent="0.25"/>
    <row r="1736" s="2" customFormat="1" x14ac:dyDescent="0.25"/>
    <row r="1737" s="2" customFormat="1" x14ac:dyDescent="0.25"/>
    <row r="1738" s="2" customFormat="1" x14ac:dyDescent="0.25"/>
    <row r="1739" s="2" customFormat="1" x14ac:dyDescent="0.25"/>
    <row r="1740" s="2" customFormat="1" x14ac:dyDescent="0.25"/>
    <row r="1741" s="2" customFormat="1" x14ac:dyDescent="0.25"/>
    <row r="1742" s="2" customFormat="1" x14ac:dyDescent="0.25"/>
    <row r="1743" s="2" customFormat="1" x14ac:dyDescent="0.25"/>
    <row r="1744" s="2" customFormat="1" x14ac:dyDescent="0.25"/>
    <row r="1745" s="2" customFormat="1" x14ac:dyDescent="0.25"/>
    <row r="1746" s="2" customFormat="1" x14ac:dyDescent="0.25"/>
    <row r="1747" s="2" customFormat="1" x14ac:dyDescent="0.25"/>
    <row r="1748" s="2" customFormat="1" x14ac:dyDescent="0.25"/>
    <row r="1749" s="2" customFormat="1" x14ac:dyDescent="0.25"/>
    <row r="1750" s="2" customFormat="1" x14ac:dyDescent="0.25"/>
    <row r="1751" s="2" customFormat="1" x14ac:dyDescent="0.25"/>
    <row r="1752" s="2" customFormat="1" x14ac:dyDescent="0.25"/>
    <row r="1753" s="2" customFormat="1" x14ac:dyDescent="0.25"/>
    <row r="1754" s="2" customFormat="1" x14ac:dyDescent="0.25"/>
    <row r="1755" s="2" customFormat="1" x14ac:dyDescent="0.25"/>
    <row r="1756" s="2" customFormat="1" x14ac:dyDescent="0.25"/>
    <row r="1757" s="2" customFormat="1" x14ac:dyDescent="0.25"/>
    <row r="1758" s="2" customFormat="1" x14ac:dyDescent="0.25"/>
    <row r="1759" s="2" customFormat="1" x14ac:dyDescent="0.25"/>
    <row r="1760" s="2" customFormat="1" x14ac:dyDescent="0.25"/>
    <row r="1761" s="2" customFormat="1" x14ac:dyDescent="0.25"/>
    <row r="1762" s="2" customFormat="1" x14ac:dyDescent="0.25"/>
    <row r="1763" s="2" customFormat="1" x14ac:dyDescent="0.25"/>
    <row r="1764" s="2" customFormat="1" x14ac:dyDescent="0.25"/>
    <row r="1765" s="2" customFormat="1" x14ac:dyDescent="0.25"/>
    <row r="1766" s="2" customFormat="1" x14ac:dyDescent="0.25"/>
    <row r="1767" s="2" customFormat="1" x14ac:dyDescent="0.25"/>
    <row r="1768" s="2" customFormat="1" x14ac:dyDescent="0.25"/>
    <row r="1769" s="2" customFormat="1" x14ac:dyDescent="0.25"/>
    <row r="1770" s="2" customFormat="1" x14ac:dyDescent="0.25"/>
    <row r="1771" s="2" customFormat="1" x14ac:dyDescent="0.25"/>
    <row r="1772" s="2" customFormat="1" x14ac:dyDescent="0.25"/>
    <row r="1773" s="2" customFormat="1" x14ac:dyDescent="0.25"/>
    <row r="1774" s="2" customFormat="1" x14ac:dyDescent="0.25"/>
    <row r="1775" s="2" customFormat="1" x14ac:dyDescent="0.25"/>
    <row r="1776" s="2" customFormat="1" x14ac:dyDescent="0.25"/>
    <row r="1777" s="2" customFormat="1" x14ac:dyDescent="0.25"/>
    <row r="1778" s="2" customFormat="1" x14ac:dyDescent="0.25"/>
    <row r="1779" s="2" customFormat="1" x14ac:dyDescent="0.25"/>
    <row r="1780" s="2" customFormat="1" x14ac:dyDescent="0.25"/>
    <row r="1781" s="2" customFormat="1" x14ac:dyDescent="0.25"/>
    <row r="1782" s="2" customFormat="1" x14ac:dyDescent="0.25"/>
    <row r="1783" s="2" customFormat="1" x14ac:dyDescent="0.25"/>
    <row r="1784" s="2" customFormat="1" x14ac:dyDescent="0.25"/>
    <row r="1785" s="2" customFormat="1" x14ac:dyDescent="0.25"/>
    <row r="1786" s="2" customFormat="1" x14ac:dyDescent="0.25"/>
    <row r="1787" s="2" customFormat="1" x14ac:dyDescent="0.25"/>
    <row r="1788" s="2" customFormat="1" x14ac:dyDescent="0.25"/>
    <row r="1789" s="2" customFormat="1" x14ac:dyDescent="0.25"/>
    <row r="1790" s="2" customFormat="1" x14ac:dyDescent="0.25"/>
    <row r="1791" s="2" customFormat="1" x14ac:dyDescent="0.25"/>
    <row r="1792" s="2" customFormat="1" x14ac:dyDescent="0.25"/>
    <row r="1793" s="2" customFormat="1" x14ac:dyDescent="0.25"/>
    <row r="1794" s="2" customFormat="1" x14ac:dyDescent="0.25"/>
    <row r="1795" s="2" customFormat="1" x14ac:dyDescent="0.25"/>
    <row r="1796" s="2" customFormat="1" x14ac:dyDescent="0.25"/>
    <row r="1797" s="2" customFormat="1" x14ac:dyDescent="0.25"/>
    <row r="1798" s="2" customFormat="1" x14ac:dyDescent="0.25"/>
    <row r="1799" s="2" customFormat="1" x14ac:dyDescent="0.25"/>
    <row r="1800" s="2" customFormat="1" x14ac:dyDescent="0.25"/>
    <row r="1801" s="2" customFormat="1" x14ac:dyDescent="0.25"/>
    <row r="1802" s="2" customFormat="1" x14ac:dyDescent="0.25"/>
    <row r="1803" s="2" customFormat="1" x14ac:dyDescent="0.25"/>
    <row r="1804" s="2" customFormat="1" x14ac:dyDescent="0.25"/>
    <row r="1805" s="2" customFormat="1" x14ac:dyDescent="0.25"/>
    <row r="1806" s="2" customFormat="1" x14ac:dyDescent="0.25"/>
    <row r="1807" s="2" customFormat="1" x14ac:dyDescent="0.25"/>
    <row r="1808" s="2" customFormat="1" x14ac:dyDescent="0.25"/>
    <row r="1809" s="2" customFormat="1" x14ac:dyDescent="0.25"/>
    <row r="1810" s="2" customFormat="1" x14ac:dyDescent="0.25"/>
    <row r="1811" s="2" customFormat="1" x14ac:dyDescent="0.25"/>
    <row r="1812" s="2" customFormat="1" x14ac:dyDescent="0.25"/>
    <row r="1813" s="2" customFormat="1" x14ac:dyDescent="0.25"/>
    <row r="1814" s="2" customFormat="1" x14ac:dyDescent="0.25"/>
    <row r="1815" s="2" customFormat="1" x14ac:dyDescent="0.25"/>
    <row r="1816" s="2" customFormat="1" x14ac:dyDescent="0.25"/>
    <row r="1817" s="2" customFormat="1" x14ac:dyDescent="0.25"/>
    <row r="1818" s="2" customFormat="1" x14ac:dyDescent="0.25"/>
    <row r="1819" s="2" customFormat="1" x14ac:dyDescent="0.25"/>
    <row r="1820" s="2" customFormat="1" x14ac:dyDescent="0.25"/>
    <row r="1821" s="2" customFormat="1" x14ac:dyDescent="0.25"/>
    <row r="1822" s="2" customFormat="1" x14ac:dyDescent="0.25"/>
    <row r="1823" s="2" customFormat="1" x14ac:dyDescent="0.25"/>
    <row r="1824" s="2" customFormat="1" x14ac:dyDescent="0.25"/>
    <row r="1825" s="2" customFormat="1" x14ac:dyDescent="0.25"/>
    <row r="1826" s="2" customFormat="1" x14ac:dyDescent="0.25"/>
    <row r="1827" s="2" customFormat="1" x14ac:dyDescent="0.25"/>
    <row r="1828" s="2" customFormat="1" x14ac:dyDescent="0.25"/>
    <row r="1829" s="2" customFormat="1" x14ac:dyDescent="0.25"/>
    <row r="1830" s="2" customFormat="1" x14ac:dyDescent="0.25"/>
    <row r="1831" s="2" customFormat="1" x14ac:dyDescent="0.25"/>
    <row r="1832" s="2" customFormat="1" x14ac:dyDescent="0.25"/>
    <row r="1833" s="2" customFormat="1" x14ac:dyDescent="0.25"/>
    <row r="1834" s="2" customFormat="1" x14ac:dyDescent="0.25"/>
    <row r="1835" s="2" customFormat="1" x14ac:dyDescent="0.25"/>
    <row r="1836" s="2" customFormat="1" x14ac:dyDescent="0.25"/>
    <row r="1837" s="2" customFormat="1" x14ac:dyDescent="0.25"/>
    <row r="1838" s="2" customFormat="1" x14ac:dyDescent="0.25"/>
    <row r="1839" s="2" customFormat="1" x14ac:dyDescent="0.25"/>
    <row r="1840" s="2" customFormat="1" x14ac:dyDescent="0.25"/>
    <row r="1841" s="2" customFormat="1" x14ac:dyDescent="0.25"/>
    <row r="1842" s="2" customFormat="1" x14ac:dyDescent="0.25"/>
    <row r="1843" s="2" customFormat="1" x14ac:dyDescent="0.25"/>
    <row r="1844" s="2" customFormat="1" x14ac:dyDescent="0.25"/>
    <row r="1845" s="2" customFormat="1" x14ac:dyDescent="0.25"/>
    <row r="1846" s="2" customFormat="1" x14ac:dyDescent="0.25"/>
    <row r="1847" s="2" customFormat="1" x14ac:dyDescent="0.25"/>
    <row r="1848" s="2" customFormat="1" x14ac:dyDescent="0.25"/>
    <row r="1849" s="2" customFormat="1" x14ac:dyDescent="0.25"/>
    <row r="1850" s="2" customFormat="1" x14ac:dyDescent="0.25"/>
    <row r="1851" s="2" customFormat="1" x14ac:dyDescent="0.25"/>
    <row r="1852" s="2" customFormat="1" x14ac:dyDescent="0.25"/>
    <row r="1853" s="2" customFormat="1" x14ac:dyDescent="0.25"/>
    <row r="1854" s="2" customFormat="1" x14ac:dyDescent="0.25"/>
    <row r="1855" s="2" customFormat="1" x14ac:dyDescent="0.25"/>
    <row r="1856" s="2" customFormat="1" x14ac:dyDescent="0.25"/>
    <row r="1857" s="2" customFormat="1" x14ac:dyDescent="0.25"/>
    <row r="1858" s="2" customFormat="1" x14ac:dyDescent="0.25"/>
    <row r="1859" s="2" customFormat="1" x14ac:dyDescent="0.25"/>
    <row r="1860" s="2" customFormat="1" x14ac:dyDescent="0.25"/>
    <row r="1861" s="2" customFormat="1" x14ac:dyDescent="0.25"/>
    <row r="1862" s="2" customFormat="1" x14ac:dyDescent="0.25"/>
    <row r="1863" s="2" customFormat="1" x14ac:dyDescent="0.25"/>
    <row r="1864" s="2" customFormat="1" x14ac:dyDescent="0.25"/>
    <row r="1865" s="2" customFormat="1" x14ac:dyDescent="0.25"/>
    <row r="1866" s="2" customFormat="1" x14ac:dyDescent="0.25"/>
    <row r="1867" s="2" customFormat="1" x14ac:dyDescent="0.25"/>
    <row r="1868" s="2" customFormat="1" x14ac:dyDescent="0.25"/>
    <row r="1869" s="2" customFormat="1" x14ac:dyDescent="0.25"/>
    <row r="1870" s="2" customFormat="1" x14ac:dyDescent="0.25"/>
    <row r="1871" s="2" customFormat="1" x14ac:dyDescent="0.25"/>
    <row r="1872" s="2" customFormat="1" x14ac:dyDescent="0.25"/>
    <row r="1873" s="2" customFormat="1" x14ac:dyDescent="0.25"/>
    <row r="1874" s="2" customFormat="1" x14ac:dyDescent="0.25"/>
    <row r="1875" s="2" customFormat="1" x14ac:dyDescent="0.25"/>
    <row r="1876" s="2" customFormat="1" x14ac:dyDescent="0.25"/>
    <row r="1877" s="2" customFormat="1" x14ac:dyDescent="0.25"/>
    <row r="1878" s="2" customFormat="1" x14ac:dyDescent="0.25"/>
    <row r="1879" s="2" customFormat="1" x14ac:dyDescent="0.25"/>
    <row r="1880" s="2" customFormat="1" x14ac:dyDescent="0.25"/>
    <row r="1881" s="2" customFormat="1" x14ac:dyDescent="0.25"/>
    <row r="1882" s="2" customFormat="1" x14ac:dyDescent="0.25"/>
    <row r="1883" s="2" customFormat="1" x14ac:dyDescent="0.25"/>
    <row r="1884" s="2" customFormat="1" x14ac:dyDescent="0.25"/>
    <row r="1885" s="2" customFormat="1" x14ac:dyDescent="0.25"/>
    <row r="1886" s="2" customFormat="1" x14ac:dyDescent="0.25"/>
    <row r="1887" s="2" customFormat="1" x14ac:dyDescent="0.25"/>
    <row r="1888" s="2" customFormat="1" x14ac:dyDescent="0.25"/>
    <row r="1889" s="2" customFormat="1" x14ac:dyDescent="0.25"/>
    <row r="1890" s="2" customFormat="1" x14ac:dyDescent="0.25"/>
    <row r="1891" s="2" customFormat="1" x14ac:dyDescent="0.25"/>
    <row r="1892" s="2" customFormat="1" x14ac:dyDescent="0.25"/>
    <row r="1893" s="2" customFormat="1" x14ac:dyDescent="0.25"/>
    <row r="1894" s="2" customFormat="1" x14ac:dyDescent="0.25"/>
    <row r="1895" s="2" customFormat="1" x14ac:dyDescent="0.25"/>
    <row r="1896" s="2" customFormat="1" x14ac:dyDescent="0.25"/>
    <row r="1897" s="2" customFormat="1" x14ac:dyDescent="0.25"/>
    <row r="1898" s="2" customFormat="1" x14ac:dyDescent="0.25"/>
    <row r="1899" s="2" customFormat="1" x14ac:dyDescent="0.25"/>
    <row r="1900" s="2" customFormat="1" x14ac:dyDescent="0.25"/>
    <row r="1901" s="2" customFormat="1" x14ac:dyDescent="0.25"/>
    <row r="1902" s="2" customFormat="1" x14ac:dyDescent="0.25"/>
    <row r="1903" s="2" customFormat="1" x14ac:dyDescent="0.25"/>
    <row r="1904" s="2" customFormat="1" x14ac:dyDescent="0.25"/>
    <row r="1905" s="2" customFormat="1" x14ac:dyDescent="0.25"/>
    <row r="1906" s="2" customFormat="1" x14ac:dyDescent="0.25"/>
    <row r="1907" s="2" customFormat="1" x14ac:dyDescent="0.25"/>
    <row r="1908" s="2" customFormat="1" x14ac:dyDescent="0.25"/>
    <row r="1909" s="2" customFormat="1" x14ac:dyDescent="0.25"/>
    <row r="1910" s="2" customFormat="1" x14ac:dyDescent="0.25"/>
    <row r="1911" s="2" customFormat="1" x14ac:dyDescent="0.25"/>
    <row r="1912" s="2" customFormat="1" x14ac:dyDescent="0.25"/>
    <row r="1913" s="2" customFormat="1" x14ac:dyDescent="0.25"/>
    <row r="1914" s="2" customFormat="1" x14ac:dyDescent="0.25"/>
    <row r="1915" s="2" customFormat="1" x14ac:dyDescent="0.25"/>
    <row r="1916" s="2" customFormat="1" x14ac:dyDescent="0.25"/>
    <row r="1917" s="2" customFormat="1" x14ac:dyDescent="0.25"/>
    <row r="1918" s="2" customFormat="1" x14ac:dyDescent="0.25"/>
    <row r="1919" s="2" customFormat="1" x14ac:dyDescent="0.25"/>
    <row r="1920" s="2" customFormat="1" x14ac:dyDescent="0.25"/>
    <row r="1921" s="2" customFormat="1" x14ac:dyDescent="0.25"/>
    <row r="1922" s="2" customFormat="1" x14ac:dyDescent="0.25"/>
    <row r="1923" s="2" customFormat="1" x14ac:dyDescent="0.25"/>
    <row r="1924" s="2" customFormat="1" x14ac:dyDescent="0.25"/>
    <row r="1925" s="2" customFormat="1" x14ac:dyDescent="0.25"/>
    <row r="1926" s="2" customFormat="1" x14ac:dyDescent="0.25"/>
    <row r="1927" s="2" customFormat="1" x14ac:dyDescent="0.25"/>
    <row r="1928" s="2" customFormat="1" x14ac:dyDescent="0.25"/>
    <row r="1929" s="2" customFormat="1" x14ac:dyDescent="0.25"/>
    <row r="1930" s="2" customFormat="1" x14ac:dyDescent="0.25"/>
    <row r="1931" s="2" customFormat="1" x14ac:dyDescent="0.25"/>
    <row r="1932" s="2" customFormat="1" x14ac:dyDescent="0.25"/>
    <row r="1933" s="2" customFormat="1" x14ac:dyDescent="0.25"/>
    <row r="1934" s="2" customFormat="1" x14ac:dyDescent="0.25"/>
    <row r="1935" s="2" customFormat="1" x14ac:dyDescent="0.25"/>
    <row r="1936" s="2" customFormat="1" x14ac:dyDescent="0.25"/>
    <row r="1937" s="2" customFormat="1" x14ac:dyDescent="0.25"/>
    <row r="1938" s="2" customFormat="1" x14ac:dyDescent="0.25"/>
    <row r="1939" s="2" customFormat="1" x14ac:dyDescent="0.25"/>
    <row r="1940" s="2" customFormat="1" x14ac:dyDescent="0.25"/>
    <row r="1941" s="2" customFormat="1" x14ac:dyDescent="0.25"/>
    <row r="1942" s="2" customFormat="1" x14ac:dyDescent="0.25"/>
    <row r="1943" s="2" customFormat="1" x14ac:dyDescent="0.25"/>
    <row r="1944" s="2" customFormat="1" x14ac:dyDescent="0.25"/>
    <row r="1945" s="2" customFormat="1" x14ac:dyDescent="0.25"/>
    <row r="1946" s="2" customFormat="1" x14ac:dyDescent="0.25"/>
    <row r="1947" s="2" customFormat="1" x14ac:dyDescent="0.25"/>
    <row r="1948" s="2" customFormat="1" x14ac:dyDescent="0.25"/>
    <row r="1949" s="2" customFormat="1" x14ac:dyDescent="0.25"/>
    <row r="1950" s="2" customFormat="1" x14ac:dyDescent="0.25"/>
    <row r="1951" s="2" customFormat="1" x14ac:dyDescent="0.25"/>
    <row r="1952" s="2" customFormat="1" x14ac:dyDescent="0.25"/>
    <row r="1953" s="2" customFormat="1" x14ac:dyDescent="0.25"/>
    <row r="1954" s="2" customFormat="1" x14ac:dyDescent="0.25"/>
    <row r="1955" s="2" customFormat="1" x14ac:dyDescent="0.25"/>
    <row r="1956" s="2" customFormat="1" x14ac:dyDescent="0.25"/>
    <row r="1957" s="2" customFormat="1" x14ac:dyDescent="0.25"/>
    <row r="1958" s="2" customFormat="1" x14ac:dyDescent="0.25"/>
    <row r="1959" s="2" customFormat="1" x14ac:dyDescent="0.25"/>
    <row r="1960" s="2" customFormat="1" x14ac:dyDescent="0.25"/>
    <row r="1961" s="2" customFormat="1" x14ac:dyDescent="0.25"/>
    <row r="1962" s="2" customFormat="1" x14ac:dyDescent="0.25"/>
    <row r="1963" s="2" customFormat="1" x14ac:dyDescent="0.25"/>
    <row r="1964" s="2" customFormat="1" x14ac:dyDescent="0.25"/>
    <row r="1965" s="2" customFormat="1" x14ac:dyDescent="0.25"/>
    <row r="1966" s="2" customFormat="1" x14ac:dyDescent="0.25"/>
    <row r="1967" s="2" customFormat="1" x14ac:dyDescent="0.25"/>
    <row r="1968" s="2" customFormat="1" x14ac:dyDescent="0.25"/>
    <row r="1969" s="2" customFormat="1" x14ac:dyDescent="0.25"/>
    <row r="1970" s="2" customFormat="1" x14ac:dyDescent="0.25"/>
    <row r="1971" s="2" customFormat="1" x14ac:dyDescent="0.25"/>
    <row r="1972" s="2" customFormat="1" x14ac:dyDescent="0.25"/>
    <row r="1973" s="2" customFormat="1" x14ac:dyDescent="0.25"/>
    <row r="1974" s="2" customFormat="1" x14ac:dyDescent="0.25"/>
    <row r="1975" s="2" customFormat="1" x14ac:dyDescent="0.25"/>
    <row r="1976" s="2" customFormat="1" x14ac:dyDescent="0.25"/>
    <row r="1977" s="2" customFormat="1" x14ac:dyDescent="0.25"/>
    <row r="1978" s="2" customFormat="1" x14ac:dyDescent="0.25"/>
    <row r="1979" s="2" customFormat="1" x14ac:dyDescent="0.25"/>
    <row r="1980" s="2" customFormat="1" x14ac:dyDescent="0.25"/>
    <row r="1981" s="2" customFormat="1" x14ac:dyDescent="0.25"/>
    <row r="1982" s="2" customFormat="1" x14ac:dyDescent="0.25"/>
    <row r="1983" s="2" customFormat="1" x14ac:dyDescent="0.25"/>
    <row r="1984" s="2" customFormat="1" x14ac:dyDescent="0.25"/>
    <row r="1985" s="2" customFormat="1" x14ac:dyDescent="0.25"/>
    <row r="1986" s="2" customFormat="1" x14ac:dyDescent="0.25"/>
    <row r="1987" s="2" customFormat="1" x14ac:dyDescent="0.25"/>
    <row r="1988" s="2" customFormat="1" x14ac:dyDescent="0.25"/>
    <row r="1989" s="2" customFormat="1" x14ac:dyDescent="0.25"/>
    <row r="1990" s="2" customFormat="1" x14ac:dyDescent="0.25"/>
    <row r="1991" s="2" customFormat="1" x14ac:dyDescent="0.25"/>
    <row r="1992" s="2" customFormat="1" x14ac:dyDescent="0.25"/>
    <row r="1993" s="2" customFormat="1" x14ac:dyDescent="0.25"/>
    <row r="1994" s="2" customFormat="1" x14ac:dyDescent="0.25"/>
    <row r="1995" s="2" customFormat="1" x14ac:dyDescent="0.25"/>
    <row r="1996" s="2" customFormat="1" x14ac:dyDescent="0.25"/>
    <row r="1997" s="2" customFormat="1" x14ac:dyDescent="0.25"/>
    <row r="1998" s="2" customFormat="1" x14ac:dyDescent="0.25"/>
    <row r="1999" s="2" customFormat="1" x14ac:dyDescent="0.25"/>
    <row r="2000" s="2" customFormat="1" x14ac:dyDescent="0.25"/>
    <row r="2001" s="2" customFormat="1" x14ac:dyDescent="0.25"/>
    <row r="2002" s="2" customFormat="1" x14ac:dyDescent="0.25"/>
    <row r="2003" s="2" customFormat="1" x14ac:dyDescent="0.25"/>
    <row r="2004" s="2" customFormat="1" x14ac:dyDescent="0.25"/>
    <row r="2005" s="2" customFormat="1" x14ac:dyDescent="0.25"/>
    <row r="2006" s="2" customFormat="1" x14ac:dyDescent="0.25"/>
    <row r="2007" s="2" customFormat="1" x14ac:dyDescent="0.25"/>
    <row r="2008" s="2" customFormat="1" x14ac:dyDescent="0.25"/>
    <row r="2009" s="2" customFormat="1" x14ac:dyDescent="0.25"/>
    <row r="2010" s="2" customFormat="1" x14ac:dyDescent="0.25"/>
    <row r="2011" s="2" customFormat="1" x14ac:dyDescent="0.25"/>
    <row r="2012" s="2" customFormat="1" x14ac:dyDescent="0.25"/>
    <row r="2013" s="2" customFormat="1" x14ac:dyDescent="0.25"/>
    <row r="2014" s="2" customFormat="1" x14ac:dyDescent="0.25"/>
    <row r="2015" s="2" customFormat="1" x14ac:dyDescent="0.25"/>
    <row r="2016" s="2" customFormat="1" x14ac:dyDescent="0.25"/>
    <row r="2017" s="2" customFormat="1" x14ac:dyDescent="0.25"/>
    <row r="2018" s="2" customFormat="1" x14ac:dyDescent="0.25"/>
    <row r="2019" s="2" customFormat="1" x14ac:dyDescent="0.25"/>
    <row r="2020" s="2" customFormat="1" x14ac:dyDescent="0.25"/>
    <row r="2021" s="2" customFormat="1" x14ac:dyDescent="0.25"/>
    <row r="2022" s="2" customFormat="1" x14ac:dyDescent="0.25"/>
    <row r="2023" s="2" customFormat="1" x14ac:dyDescent="0.25"/>
    <row r="2024" s="2" customFormat="1" x14ac:dyDescent="0.25"/>
    <row r="2025" s="2" customFormat="1" x14ac:dyDescent="0.25"/>
    <row r="2026" s="2" customFormat="1" x14ac:dyDescent="0.25"/>
    <row r="2027" s="2" customFormat="1" x14ac:dyDescent="0.25"/>
    <row r="2028" s="2" customFormat="1" x14ac:dyDescent="0.25"/>
    <row r="2029" s="2" customFormat="1" x14ac:dyDescent="0.25"/>
    <row r="2030" s="2" customFormat="1" x14ac:dyDescent="0.25"/>
    <row r="2031" s="2" customFormat="1" x14ac:dyDescent="0.25"/>
    <row r="2032" s="2" customFormat="1" x14ac:dyDescent="0.25"/>
    <row r="2033" s="2" customFormat="1" x14ac:dyDescent="0.25"/>
    <row r="2034" s="2" customFormat="1" x14ac:dyDescent="0.25"/>
    <row r="2035" s="2" customFormat="1" x14ac:dyDescent="0.25"/>
    <row r="2036" s="2" customFormat="1" x14ac:dyDescent="0.25"/>
    <row r="2037" s="2" customFormat="1" x14ac:dyDescent="0.25"/>
    <row r="2038" s="2" customFormat="1" x14ac:dyDescent="0.25"/>
    <row r="2039" s="2" customFormat="1" x14ac:dyDescent="0.25"/>
    <row r="2040" s="2" customFormat="1" x14ac:dyDescent="0.25"/>
    <row r="2041" s="2" customFormat="1" x14ac:dyDescent="0.25"/>
    <row r="2042" s="2" customFormat="1" x14ac:dyDescent="0.25"/>
    <row r="2043" s="2" customFormat="1" x14ac:dyDescent="0.25"/>
    <row r="2044" s="2" customFormat="1" x14ac:dyDescent="0.25"/>
    <row r="2045" s="2" customFormat="1" x14ac:dyDescent="0.25"/>
    <row r="2046" s="2" customFormat="1" x14ac:dyDescent="0.25"/>
    <row r="2047" s="2" customFormat="1" x14ac:dyDescent="0.25"/>
    <row r="2048" s="2" customFormat="1" x14ac:dyDescent="0.25"/>
    <row r="2049" s="2" customFormat="1" x14ac:dyDescent="0.25"/>
    <row r="2050" s="2" customFormat="1" x14ac:dyDescent="0.25"/>
    <row r="2051" s="2" customFormat="1" x14ac:dyDescent="0.25"/>
    <row r="2052" s="2" customFormat="1" x14ac:dyDescent="0.25"/>
    <row r="2053" s="2" customFormat="1" x14ac:dyDescent="0.25"/>
    <row r="2054" s="2" customFormat="1" x14ac:dyDescent="0.25"/>
    <row r="2055" s="2" customFormat="1" x14ac:dyDescent="0.25"/>
    <row r="2056" s="2" customFormat="1" x14ac:dyDescent="0.25"/>
    <row r="2057" s="2" customFormat="1" x14ac:dyDescent="0.25"/>
    <row r="2058" s="2" customFormat="1" x14ac:dyDescent="0.25"/>
    <row r="2059" s="2" customFormat="1" x14ac:dyDescent="0.25"/>
    <row r="2060" s="2" customFormat="1" x14ac:dyDescent="0.25"/>
    <row r="2061" s="2" customFormat="1" x14ac:dyDescent="0.25"/>
    <row r="2062" s="2" customFormat="1" x14ac:dyDescent="0.25"/>
    <row r="2063" s="2" customFormat="1" x14ac:dyDescent="0.25"/>
    <row r="2064" s="2" customFormat="1" x14ac:dyDescent="0.25"/>
    <row r="2065" s="2" customFormat="1" x14ac:dyDescent="0.25"/>
    <row r="2066" s="2" customFormat="1" x14ac:dyDescent="0.25"/>
    <row r="2067" s="2" customFormat="1" x14ac:dyDescent="0.25"/>
    <row r="2068" s="2" customFormat="1" x14ac:dyDescent="0.25"/>
    <row r="2069" s="2" customFormat="1" x14ac:dyDescent="0.25"/>
    <row r="2070" s="2" customFormat="1" x14ac:dyDescent="0.25"/>
    <row r="2071" s="2" customFormat="1" x14ac:dyDescent="0.25"/>
    <row r="2072" s="2" customFormat="1" x14ac:dyDescent="0.25"/>
    <row r="2073" s="2" customFormat="1" x14ac:dyDescent="0.25"/>
    <row r="2074" s="2" customFormat="1" x14ac:dyDescent="0.25"/>
    <row r="2075" s="2" customFormat="1" x14ac:dyDescent="0.25"/>
    <row r="2076" s="2" customFormat="1" x14ac:dyDescent="0.25"/>
    <row r="2077" s="2" customFormat="1" x14ac:dyDescent="0.25"/>
    <row r="2078" s="2" customFormat="1" x14ac:dyDescent="0.25"/>
    <row r="2079" s="2" customFormat="1" x14ac:dyDescent="0.25"/>
    <row r="2080" s="2" customFormat="1" x14ac:dyDescent="0.25"/>
    <row r="2081" s="2" customFormat="1" x14ac:dyDescent="0.25"/>
    <row r="2082" s="2" customFormat="1" x14ac:dyDescent="0.25"/>
    <row r="2083" s="2" customFormat="1" x14ac:dyDescent="0.25"/>
    <row r="2084" s="2" customFormat="1" x14ac:dyDescent="0.25"/>
    <row r="2085" s="2" customFormat="1" x14ac:dyDescent="0.25"/>
    <row r="2086" s="2" customFormat="1" x14ac:dyDescent="0.25"/>
    <row r="2087" s="2" customFormat="1" x14ac:dyDescent="0.25"/>
    <row r="2088" s="2" customFormat="1" x14ac:dyDescent="0.25"/>
    <row r="2089" s="2" customFormat="1" x14ac:dyDescent="0.25"/>
    <row r="2090" s="2" customFormat="1" x14ac:dyDescent="0.25"/>
    <row r="2091" s="2" customFormat="1" x14ac:dyDescent="0.25"/>
    <row r="2092" s="2" customFormat="1" x14ac:dyDescent="0.25"/>
    <row r="2093" s="2" customFormat="1" x14ac:dyDescent="0.25"/>
    <row r="2094" s="2" customFormat="1" x14ac:dyDescent="0.25"/>
    <row r="2095" s="2" customFormat="1" x14ac:dyDescent="0.25"/>
    <row r="2096" s="2" customFormat="1" x14ac:dyDescent="0.25"/>
    <row r="2097" s="2" customFormat="1" x14ac:dyDescent="0.25"/>
    <row r="2098" s="2" customFormat="1" x14ac:dyDescent="0.25"/>
    <row r="2099" s="2" customFormat="1" x14ac:dyDescent="0.25"/>
    <row r="2100" s="2" customFormat="1" x14ac:dyDescent="0.25"/>
    <row r="2101" s="2" customFormat="1" x14ac:dyDescent="0.25"/>
    <row r="2102" s="2" customFormat="1" x14ac:dyDescent="0.25"/>
    <row r="2103" s="2" customFormat="1" x14ac:dyDescent="0.25"/>
    <row r="2104" s="2" customFormat="1" x14ac:dyDescent="0.25"/>
    <row r="2105" s="2" customFormat="1" x14ac:dyDescent="0.25"/>
    <row r="2106" s="2" customFormat="1" x14ac:dyDescent="0.25"/>
    <row r="2107" s="2" customFormat="1" x14ac:dyDescent="0.25"/>
    <row r="2108" s="2" customFormat="1" x14ac:dyDescent="0.25"/>
    <row r="2109" s="2" customFormat="1" x14ac:dyDescent="0.25"/>
    <row r="2110" s="2" customFormat="1" x14ac:dyDescent="0.25"/>
    <row r="2111" s="2" customFormat="1" x14ac:dyDescent="0.25"/>
    <row r="2112" s="2" customFormat="1" x14ac:dyDescent="0.25"/>
    <row r="2113" s="2" customFormat="1" x14ac:dyDescent="0.25"/>
    <row r="2114" s="2" customFormat="1" x14ac:dyDescent="0.25"/>
    <row r="2115" s="2" customFormat="1" x14ac:dyDescent="0.25"/>
    <row r="2116" s="2" customFormat="1" x14ac:dyDescent="0.25"/>
    <row r="2117" s="2" customFormat="1" x14ac:dyDescent="0.25"/>
    <row r="2118" s="2" customFormat="1" x14ac:dyDescent="0.25"/>
    <row r="2119" s="2" customFormat="1" x14ac:dyDescent="0.25"/>
    <row r="2120" s="2" customFormat="1" x14ac:dyDescent="0.25"/>
    <row r="2121" s="2" customFormat="1" x14ac:dyDescent="0.25"/>
    <row r="2122" s="2" customFormat="1" x14ac:dyDescent="0.25"/>
    <row r="2123" s="2" customFormat="1" x14ac:dyDescent="0.25"/>
    <row r="2124" s="2" customFormat="1" x14ac:dyDescent="0.25"/>
    <row r="2125" s="2" customFormat="1" x14ac:dyDescent="0.25"/>
    <row r="2126" s="2" customFormat="1" x14ac:dyDescent="0.25"/>
    <row r="2127" s="2" customFormat="1" x14ac:dyDescent="0.25"/>
    <row r="2128" s="2" customFormat="1" x14ac:dyDescent="0.25"/>
    <row r="2129" s="2" customFormat="1" x14ac:dyDescent="0.25"/>
    <row r="2130" s="2" customFormat="1" x14ac:dyDescent="0.25"/>
    <row r="2131" s="2" customFormat="1" x14ac:dyDescent="0.25"/>
    <row r="2132" s="2" customFormat="1" x14ac:dyDescent="0.25"/>
    <row r="2133" s="2" customFormat="1" x14ac:dyDescent="0.25"/>
    <row r="2134" s="2" customFormat="1" x14ac:dyDescent="0.25"/>
    <row r="2135" s="2" customFormat="1" x14ac:dyDescent="0.25"/>
    <row r="2136" s="2" customFormat="1" x14ac:dyDescent="0.25"/>
    <row r="2137" s="2" customFormat="1" x14ac:dyDescent="0.25"/>
    <row r="2138" s="2" customFormat="1" x14ac:dyDescent="0.25"/>
    <row r="2139" s="2" customFormat="1" x14ac:dyDescent="0.25"/>
    <row r="2140" s="2" customFormat="1" x14ac:dyDescent="0.25"/>
    <row r="2141" s="2" customFormat="1" x14ac:dyDescent="0.25"/>
    <row r="2142" s="2" customFormat="1" x14ac:dyDescent="0.25"/>
    <row r="2143" s="2" customFormat="1" x14ac:dyDescent="0.25"/>
    <row r="2144" s="2" customFormat="1" x14ac:dyDescent="0.25"/>
    <row r="2145" s="2" customFormat="1" x14ac:dyDescent="0.25"/>
    <row r="2146" s="2" customFormat="1" x14ac:dyDescent="0.25"/>
    <row r="2147" s="2" customFormat="1" x14ac:dyDescent="0.25"/>
    <row r="2148" s="2" customFormat="1" x14ac:dyDescent="0.25"/>
    <row r="2149" s="2" customFormat="1" x14ac:dyDescent="0.25"/>
    <row r="2150" s="2" customFormat="1" x14ac:dyDescent="0.25"/>
    <row r="2151" s="2" customFormat="1" x14ac:dyDescent="0.25"/>
    <row r="2152" s="2" customFormat="1" x14ac:dyDescent="0.25"/>
    <row r="2153" s="2" customFormat="1" x14ac:dyDescent="0.25"/>
    <row r="2154" s="2" customFormat="1" x14ac:dyDescent="0.25"/>
    <row r="2155" s="2" customFormat="1" x14ac:dyDescent="0.25"/>
    <row r="2156" s="2" customFormat="1" x14ac:dyDescent="0.25"/>
    <row r="2157" s="2" customFormat="1" x14ac:dyDescent="0.25"/>
    <row r="2158" s="2" customFormat="1" x14ac:dyDescent="0.25"/>
    <row r="2159" s="2" customFormat="1" x14ac:dyDescent="0.25"/>
    <row r="2160" s="2" customFormat="1" x14ac:dyDescent="0.25"/>
    <row r="2161" s="2" customFormat="1" x14ac:dyDescent="0.25"/>
    <row r="2162" s="2" customFormat="1" x14ac:dyDescent="0.25"/>
    <row r="2163" s="2" customFormat="1" x14ac:dyDescent="0.25"/>
    <row r="2164" s="2" customFormat="1" x14ac:dyDescent="0.25"/>
    <row r="2165" s="2" customFormat="1" x14ac:dyDescent="0.25"/>
    <row r="2166" s="2" customFormat="1" x14ac:dyDescent="0.25"/>
    <row r="2167" s="2" customFormat="1" x14ac:dyDescent="0.25"/>
    <row r="2168" s="2" customFormat="1" x14ac:dyDescent="0.25"/>
    <row r="2169" s="2" customFormat="1" x14ac:dyDescent="0.25"/>
    <row r="2170" s="2" customFormat="1" x14ac:dyDescent="0.25"/>
    <row r="2171" s="2" customFormat="1" x14ac:dyDescent="0.25"/>
    <row r="2172" s="2" customFormat="1" x14ac:dyDescent="0.25"/>
    <row r="2173" s="2" customFormat="1" x14ac:dyDescent="0.25"/>
    <row r="2174" s="2" customFormat="1" x14ac:dyDescent="0.25"/>
    <row r="2175" s="2" customFormat="1" x14ac:dyDescent="0.25"/>
    <row r="2176" s="2" customFormat="1" x14ac:dyDescent="0.25"/>
    <row r="2177" s="2" customFormat="1" x14ac:dyDescent="0.25"/>
    <row r="2178" s="2" customFormat="1" x14ac:dyDescent="0.25"/>
    <row r="2179" s="2" customFormat="1" x14ac:dyDescent="0.25"/>
    <row r="2180" s="2" customFormat="1" x14ac:dyDescent="0.25"/>
    <row r="2181" s="2" customFormat="1" x14ac:dyDescent="0.25"/>
    <row r="2182" s="2" customFormat="1" x14ac:dyDescent="0.25"/>
    <row r="2183" s="2" customFormat="1" x14ac:dyDescent="0.25"/>
    <row r="2184" s="2" customFormat="1" x14ac:dyDescent="0.25"/>
    <row r="2185" s="2" customFormat="1" x14ac:dyDescent="0.25"/>
    <row r="2186" s="2" customFormat="1" x14ac:dyDescent="0.25"/>
    <row r="2187" s="2" customFormat="1" x14ac:dyDescent="0.25"/>
    <row r="2188" s="2" customFormat="1" x14ac:dyDescent="0.25"/>
    <row r="2189" s="2" customFormat="1" x14ac:dyDescent="0.25"/>
    <row r="2190" s="2" customFormat="1" x14ac:dyDescent="0.25"/>
    <row r="2191" s="2" customFormat="1" x14ac:dyDescent="0.25"/>
    <row r="2192" s="2" customFormat="1" x14ac:dyDescent="0.25"/>
    <row r="2193" s="2" customFormat="1" x14ac:dyDescent="0.25"/>
    <row r="2194" s="2" customFormat="1" x14ac:dyDescent="0.25"/>
    <row r="2195" s="2" customFormat="1" x14ac:dyDescent="0.25"/>
    <row r="2196" s="2" customFormat="1" x14ac:dyDescent="0.25"/>
    <row r="2197" s="2" customFormat="1" x14ac:dyDescent="0.25"/>
    <row r="2198" s="2" customFormat="1" x14ac:dyDescent="0.25"/>
  </sheetData>
  <mergeCells count="45">
    <mergeCell ref="B1:G1"/>
    <mergeCell ref="B22:G22"/>
    <mergeCell ref="B4:G4"/>
    <mergeCell ref="B19:D19"/>
    <mergeCell ref="F13:G13"/>
    <mergeCell ref="B3:G3"/>
    <mergeCell ref="F14:G14"/>
    <mergeCell ref="C5:G5"/>
    <mergeCell ref="C6:E6"/>
    <mergeCell ref="F6:G6"/>
    <mergeCell ref="C11:E11"/>
    <mergeCell ref="C7:E7"/>
    <mergeCell ref="C12:E12"/>
    <mergeCell ref="C10:E10"/>
    <mergeCell ref="C13:E13"/>
    <mergeCell ref="C14:E14"/>
    <mergeCell ref="B52:G52"/>
    <mergeCell ref="B2:G2"/>
    <mergeCell ref="F16:G16"/>
    <mergeCell ref="B17:D17"/>
    <mergeCell ref="F17:G17"/>
    <mergeCell ref="F11:G11"/>
    <mergeCell ref="F12:G12"/>
    <mergeCell ref="F7:G7"/>
    <mergeCell ref="F8:G8"/>
    <mergeCell ref="F9:G9"/>
    <mergeCell ref="F10:G10"/>
    <mergeCell ref="C8:E8"/>
    <mergeCell ref="C9:E9"/>
    <mergeCell ref="C15:E15"/>
    <mergeCell ref="F15:G15"/>
    <mergeCell ref="C26:G26"/>
    <mergeCell ref="B23:G23"/>
    <mergeCell ref="B33:F33"/>
    <mergeCell ref="B20:G20"/>
    <mergeCell ref="C16:E16"/>
    <mergeCell ref="B18:D18"/>
    <mergeCell ref="F18:G18"/>
    <mergeCell ref="C24:G24"/>
    <mergeCell ref="F19:G19"/>
    <mergeCell ref="B51:F51"/>
    <mergeCell ref="C38:G38"/>
    <mergeCell ref="C40:G40"/>
    <mergeCell ref="C34:G34"/>
    <mergeCell ref="C35:G35"/>
  </mergeCells>
  <phoneticPr fontId="19" type="noConversion"/>
  <pageMargins left="0.75" right="0.25" top="0.3" bottom="0.5" header="0.5" footer="0.5"/>
  <pageSetup paperSize="9" scale="9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609</v>
      </c>
      <c r="C7" s="91"/>
      <c r="D7" s="296" t="s">
        <v>626</v>
      </c>
      <c r="E7" s="92"/>
      <c r="F7" s="92"/>
      <c r="G7" s="92"/>
      <c r="H7" s="92"/>
      <c r="I7" s="92"/>
      <c r="J7" s="113"/>
      <c r="K7" s="113"/>
    </row>
    <row r="8" spans="2:13" s="80" customFormat="1" ht="12" customHeight="1" x14ac:dyDescent="0.25">
      <c r="B8" s="285">
        <v>5.0999999999999996</v>
      </c>
      <c r="C8" s="319" t="s">
        <v>993</v>
      </c>
      <c r="D8" s="526" t="s">
        <v>994</v>
      </c>
      <c r="E8" s="291"/>
      <c r="F8" s="291"/>
      <c r="G8" s="291"/>
      <c r="H8" s="369"/>
      <c r="I8" s="457"/>
      <c r="J8" s="457"/>
      <c r="K8" s="457"/>
    </row>
    <row r="9" spans="2:13" s="80" customFormat="1" ht="12" customHeight="1" x14ac:dyDescent="0.25">
      <c r="B9" s="299" t="s">
        <v>5</v>
      </c>
      <c r="C9" s="527" t="s">
        <v>996</v>
      </c>
      <c r="D9" s="528" t="s">
        <v>997</v>
      </c>
      <c r="E9" s="290" t="s">
        <v>204</v>
      </c>
      <c r="F9" s="290">
        <v>200</v>
      </c>
      <c r="G9" s="529"/>
      <c r="H9" s="370"/>
      <c r="I9" s="463"/>
      <c r="J9" s="463"/>
      <c r="K9" s="463"/>
    </row>
    <row r="10" spans="2:13" s="81" customFormat="1" ht="12" customHeight="1" x14ac:dyDescent="0.25">
      <c r="B10" s="285">
        <v>5.2</v>
      </c>
      <c r="C10" s="319"/>
      <c r="D10" s="526" t="s">
        <v>998</v>
      </c>
      <c r="E10" s="291"/>
      <c r="F10" s="291"/>
      <c r="G10" s="291"/>
      <c r="H10" s="456"/>
      <c r="I10" s="457"/>
      <c r="J10" s="457"/>
      <c r="K10" s="457"/>
    </row>
    <row r="11" spans="2:13" s="82" customFormat="1" ht="12" customHeight="1" x14ac:dyDescent="0.25">
      <c r="B11" s="299" t="s">
        <v>6</v>
      </c>
      <c r="C11" s="527"/>
      <c r="D11" s="528" t="s">
        <v>1000</v>
      </c>
      <c r="E11" s="290" t="s">
        <v>204</v>
      </c>
      <c r="F11" s="290">
        <v>200</v>
      </c>
      <c r="G11" s="529"/>
      <c r="H11" s="459"/>
      <c r="I11" s="463"/>
      <c r="J11" s="463"/>
      <c r="K11" s="463"/>
    </row>
    <row r="12" spans="2:13" s="81" customFormat="1" ht="12" customHeight="1" x14ac:dyDescent="0.25">
      <c r="B12" s="285">
        <v>5.3</v>
      </c>
      <c r="C12" s="319"/>
      <c r="D12" s="530" t="s">
        <v>1001</v>
      </c>
      <c r="E12" s="291"/>
      <c r="F12" s="291"/>
      <c r="G12" s="291"/>
      <c r="H12" s="456"/>
      <c r="I12" s="509"/>
      <c r="J12" s="509"/>
      <c r="K12" s="509"/>
    </row>
    <row r="13" spans="2:13" s="82" customFormat="1" ht="12" customHeight="1" x14ac:dyDescent="0.25">
      <c r="B13" s="299" t="s">
        <v>7</v>
      </c>
      <c r="C13" s="353"/>
      <c r="D13" s="476" t="s">
        <v>1003</v>
      </c>
      <c r="E13" s="290" t="s">
        <v>206</v>
      </c>
      <c r="F13" s="318">
        <v>45</v>
      </c>
      <c r="G13" s="290"/>
      <c r="H13" s="459"/>
      <c r="I13" s="463"/>
      <c r="J13" s="463"/>
      <c r="K13" s="463"/>
    </row>
    <row r="14" spans="2:13" s="77" customFormat="1" ht="12" customHeight="1" x14ac:dyDescent="0.25">
      <c r="B14" s="285">
        <v>5.4</v>
      </c>
      <c r="C14" s="531"/>
      <c r="D14" s="526" t="s">
        <v>998</v>
      </c>
      <c r="E14" s="369"/>
      <c r="F14" s="291"/>
      <c r="G14" s="369"/>
      <c r="H14" s="456"/>
      <c r="I14" s="457"/>
      <c r="J14" s="457"/>
      <c r="K14" s="457"/>
    </row>
    <row r="15" spans="2:13" s="77" customFormat="1" ht="12" customHeight="1" x14ac:dyDescent="0.25">
      <c r="B15" s="299" t="s">
        <v>8</v>
      </c>
      <c r="C15" s="335"/>
      <c r="D15" s="528" t="s">
        <v>1172</v>
      </c>
      <c r="E15" s="290" t="s">
        <v>204</v>
      </c>
      <c r="F15" s="290">
        <v>240</v>
      </c>
      <c r="G15" s="290" t="s">
        <v>80</v>
      </c>
      <c r="H15" s="459"/>
      <c r="I15" s="463"/>
      <c r="J15" s="463"/>
      <c r="K15" s="463"/>
    </row>
    <row r="16" spans="2:13" s="77" customFormat="1" ht="12" customHeight="1" x14ac:dyDescent="0.2">
      <c r="B16" s="285">
        <v>5.5</v>
      </c>
      <c r="C16" s="531" t="s">
        <v>1005</v>
      </c>
      <c r="D16" s="532" t="s">
        <v>1173</v>
      </c>
      <c r="E16" s="295"/>
      <c r="F16" s="533"/>
      <c r="G16" s="291"/>
      <c r="H16" s="456"/>
      <c r="I16" s="457"/>
      <c r="J16" s="457"/>
      <c r="K16" s="457"/>
    </row>
    <row r="17" spans="2:11" s="77" customFormat="1" ht="12" customHeight="1" x14ac:dyDescent="0.25">
      <c r="B17" s="299" t="s">
        <v>9</v>
      </c>
      <c r="C17" s="335"/>
      <c r="D17" s="294" t="s">
        <v>1171</v>
      </c>
      <c r="E17" s="290" t="s">
        <v>206</v>
      </c>
      <c r="F17" s="529">
        <v>6</v>
      </c>
      <c r="G17" s="290"/>
      <c r="H17" s="459"/>
      <c r="I17" s="463"/>
      <c r="J17" s="463"/>
      <c r="K17" s="463"/>
    </row>
    <row r="18" spans="2:11" s="77" customFormat="1" ht="12" customHeight="1" x14ac:dyDescent="0.25">
      <c r="B18" s="285">
        <v>5.6</v>
      </c>
      <c r="C18" s="319" t="s">
        <v>993</v>
      </c>
      <c r="D18" s="534" t="s">
        <v>1007</v>
      </c>
      <c r="E18" s="535"/>
      <c r="F18" s="536"/>
      <c r="G18" s="291"/>
      <c r="H18" s="456"/>
      <c r="I18" s="457"/>
      <c r="J18" s="457"/>
      <c r="K18" s="457"/>
    </row>
    <row r="19" spans="2:11" s="77" customFormat="1" ht="12" customHeight="1" x14ac:dyDescent="0.2">
      <c r="B19" s="299" t="s">
        <v>10</v>
      </c>
      <c r="C19" s="353" t="s">
        <v>996</v>
      </c>
      <c r="D19" s="537" t="s">
        <v>1009</v>
      </c>
      <c r="E19" s="538" t="s">
        <v>204</v>
      </c>
      <c r="F19" s="539">
        <v>200</v>
      </c>
      <c r="G19" s="290"/>
      <c r="H19" s="459"/>
      <c r="I19" s="463"/>
      <c r="J19" s="463"/>
      <c r="K19" s="463"/>
    </row>
    <row r="20" spans="2:11" s="77" customFormat="1" ht="12" customHeight="1" x14ac:dyDescent="0.25">
      <c r="B20" s="285">
        <v>5.7</v>
      </c>
      <c r="C20" s="531"/>
      <c r="D20" s="534" t="s">
        <v>1010</v>
      </c>
      <c r="E20" s="540"/>
      <c r="F20" s="536"/>
      <c r="G20" s="291"/>
      <c r="H20" s="369"/>
      <c r="I20" s="457"/>
      <c r="J20" s="457"/>
      <c r="K20" s="457"/>
    </row>
    <row r="21" spans="2:11" s="77" customFormat="1" ht="12" customHeight="1" x14ac:dyDescent="0.2">
      <c r="B21" s="299" t="s">
        <v>11</v>
      </c>
      <c r="C21" s="335"/>
      <c r="D21" s="537" t="s">
        <v>1012</v>
      </c>
      <c r="E21" s="538" t="s">
        <v>1013</v>
      </c>
      <c r="F21" s="539">
        <v>40</v>
      </c>
      <c r="G21" s="290" t="s">
        <v>80</v>
      </c>
      <c r="H21" s="370"/>
      <c r="I21" s="463"/>
      <c r="J21" s="463"/>
      <c r="K21" s="463"/>
    </row>
    <row r="22" spans="2:11" s="77" customFormat="1" ht="12" customHeight="1" x14ac:dyDescent="0.25">
      <c r="B22" s="285">
        <v>5.8</v>
      </c>
      <c r="C22" s="531"/>
      <c r="D22" s="534" t="s">
        <v>1014</v>
      </c>
      <c r="E22" s="540"/>
      <c r="F22" s="536"/>
      <c r="G22" s="291"/>
      <c r="H22" s="369"/>
      <c r="I22" s="457"/>
      <c r="J22" s="457"/>
      <c r="K22" s="457"/>
    </row>
    <row r="23" spans="2:11" s="77" customFormat="1" ht="12" customHeight="1" x14ac:dyDescent="0.25">
      <c r="B23" s="299" t="s">
        <v>12</v>
      </c>
      <c r="C23" s="335"/>
      <c r="D23" s="537" t="s">
        <v>1016</v>
      </c>
      <c r="E23" s="541" t="s">
        <v>204</v>
      </c>
      <c r="F23" s="539">
        <v>200</v>
      </c>
      <c r="G23" s="290"/>
      <c r="H23" s="370"/>
      <c r="I23" s="463"/>
      <c r="J23" s="463"/>
      <c r="K23" s="463"/>
    </row>
    <row r="24" spans="2:11" s="83" customFormat="1" ht="12" customHeight="1" x14ac:dyDescent="0.2">
      <c r="B24" s="285">
        <v>5.9</v>
      </c>
      <c r="C24" s="542"/>
      <c r="D24" s="543" t="s">
        <v>1017</v>
      </c>
      <c r="E24" s="544"/>
      <c r="F24" s="533"/>
      <c r="G24" s="291"/>
      <c r="H24" s="369"/>
      <c r="I24" s="457"/>
      <c r="J24" s="457"/>
      <c r="K24" s="457"/>
    </row>
    <row r="25" spans="2:11" s="84" customFormat="1" ht="12" customHeight="1" x14ac:dyDescent="0.2">
      <c r="B25" s="299" t="s">
        <v>13</v>
      </c>
      <c r="C25" s="545"/>
      <c r="D25" s="546" t="s">
        <v>1022</v>
      </c>
      <c r="E25" s="529" t="s">
        <v>206</v>
      </c>
      <c r="F25" s="529">
        <v>16</v>
      </c>
      <c r="G25" s="290"/>
      <c r="H25" s="370"/>
      <c r="I25" s="463"/>
      <c r="J25" s="463"/>
      <c r="K25" s="463"/>
    </row>
    <row r="26" spans="2:11" s="83" customFormat="1" ht="12" customHeight="1" x14ac:dyDescent="0.2">
      <c r="B26" s="441"/>
      <c r="C26" s="451"/>
      <c r="D26" s="506"/>
      <c r="E26" s="369"/>
      <c r="F26" s="369"/>
      <c r="G26" s="369"/>
      <c r="H26" s="456"/>
      <c r="I26" s="457"/>
      <c r="J26" s="457"/>
      <c r="K26" s="457"/>
    </row>
    <row r="27" spans="2:11" s="84" customFormat="1" ht="12" customHeight="1" x14ac:dyDescent="0.2">
      <c r="B27" s="373"/>
      <c r="C27" s="458"/>
      <c r="D27" s="507"/>
      <c r="E27" s="370"/>
      <c r="F27" s="370"/>
      <c r="G27" s="370"/>
      <c r="H27" s="459"/>
      <c r="I27" s="463"/>
      <c r="J27" s="463"/>
      <c r="K27" s="463"/>
    </row>
    <row r="28" spans="2:11" s="77" customFormat="1" ht="12" customHeight="1" x14ac:dyDescent="0.2">
      <c r="B28" s="441"/>
      <c r="C28" s="448"/>
      <c r="D28" s="506"/>
      <c r="E28" s="369"/>
      <c r="F28" s="369"/>
      <c r="G28" s="369"/>
      <c r="H28" s="456"/>
      <c r="I28" s="457"/>
      <c r="J28" s="457"/>
      <c r="K28" s="457"/>
    </row>
    <row r="29" spans="2:11" s="77" customFormat="1" ht="12" customHeight="1" x14ac:dyDescent="0.2">
      <c r="B29" s="373"/>
      <c r="C29" s="449"/>
      <c r="D29" s="507"/>
      <c r="E29" s="370"/>
      <c r="F29" s="370"/>
      <c r="G29" s="370"/>
      <c r="H29" s="459"/>
      <c r="I29" s="463"/>
      <c r="J29" s="463"/>
      <c r="K29" s="508"/>
    </row>
    <row r="30" spans="2:11" s="77" customFormat="1" ht="12" customHeight="1" x14ac:dyDescent="0.2">
      <c r="B30" s="441"/>
      <c r="C30" s="423"/>
      <c r="D30" s="506"/>
      <c r="E30" s="369"/>
      <c r="F30" s="369"/>
      <c r="G30" s="369"/>
      <c r="H30" s="456"/>
      <c r="I30" s="457"/>
      <c r="J30" s="457"/>
      <c r="K30" s="457"/>
    </row>
    <row r="31" spans="2:11" s="77" customFormat="1" ht="12" customHeight="1" x14ac:dyDescent="0.2">
      <c r="B31" s="373"/>
      <c r="C31" s="443"/>
      <c r="D31" s="507"/>
      <c r="E31" s="370"/>
      <c r="F31" s="372"/>
      <c r="G31" s="370"/>
      <c r="H31" s="459"/>
      <c r="I31" s="463"/>
      <c r="J31" s="463"/>
      <c r="K31" s="508"/>
    </row>
    <row r="32" spans="2:11" s="77" customFormat="1" ht="12" customHeight="1" x14ac:dyDescent="0.2">
      <c r="B32" s="441"/>
      <c r="C32" s="451"/>
      <c r="D32" s="506"/>
      <c r="E32" s="369"/>
      <c r="F32" s="369"/>
      <c r="G32" s="425"/>
      <c r="H32" s="456"/>
      <c r="I32" s="509"/>
      <c r="J32" s="509"/>
      <c r="K32" s="509"/>
    </row>
    <row r="33" spans="2:11" s="77" customFormat="1" ht="12" customHeight="1" x14ac:dyDescent="0.2">
      <c r="B33" s="373"/>
      <c r="C33" s="458"/>
      <c r="D33" s="507"/>
      <c r="E33" s="370"/>
      <c r="F33" s="370"/>
      <c r="G33" s="426"/>
      <c r="H33" s="459"/>
      <c r="I33" s="463"/>
      <c r="J33" s="463"/>
      <c r="K33" s="463"/>
    </row>
    <row r="34" spans="2:11" s="83" customFormat="1" ht="12" customHeight="1" x14ac:dyDescent="0.25">
      <c r="B34" s="441"/>
      <c r="C34" s="448"/>
      <c r="D34" s="374"/>
      <c r="E34" s="445"/>
      <c r="F34" s="425"/>
      <c r="G34" s="369"/>
      <c r="H34" s="456"/>
      <c r="I34" s="457"/>
      <c r="J34" s="457"/>
      <c r="K34" s="457"/>
    </row>
    <row r="35" spans="2:11" s="85" customFormat="1" ht="12" customHeight="1" x14ac:dyDescent="0.25">
      <c r="B35" s="373"/>
      <c r="C35" s="449"/>
      <c r="D35" s="373"/>
      <c r="E35" s="370"/>
      <c r="F35" s="372"/>
      <c r="G35" s="370"/>
      <c r="H35" s="459"/>
      <c r="I35" s="463"/>
      <c r="J35" s="463"/>
      <c r="K35" s="463"/>
    </row>
    <row r="36" spans="2:11" s="85" customFormat="1" ht="12" customHeight="1" x14ac:dyDescent="0.25">
      <c r="B36" s="441"/>
      <c r="C36" s="448"/>
      <c r="D36" s="374"/>
      <c r="E36" s="369"/>
      <c r="F36" s="369"/>
      <c r="G36" s="369"/>
      <c r="H36" s="456"/>
      <c r="I36" s="457"/>
      <c r="J36" s="457"/>
      <c r="K36" s="457"/>
    </row>
    <row r="37" spans="2:11" s="85" customFormat="1" ht="12" customHeight="1" x14ac:dyDescent="0.25">
      <c r="B37" s="373"/>
      <c r="C37" s="449"/>
      <c r="D37" s="373"/>
      <c r="E37" s="370"/>
      <c r="F37" s="370"/>
      <c r="G37" s="370"/>
      <c r="H37" s="459"/>
      <c r="I37" s="463"/>
      <c r="J37" s="463"/>
      <c r="K37" s="463"/>
    </row>
    <row r="38" spans="2:11" s="77" customFormat="1" ht="12" customHeight="1" x14ac:dyDescent="0.25">
      <c r="B38" s="441"/>
      <c r="C38" s="451"/>
      <c r="D38" s="374"/>
      <c r="E38" s="369"/>
      <c r="F38" s="376"/>
      <c r="G38" s="369"/>
      <c r="H38" s="456"/>
      <c r="I38" s="457"/>
      <c r="J38" s="457"/>
      <c r="K38" s="457"/>
    </row>
    <row r="39" spans="2:11" s="77" customFormat="1" ht="12" customHeight="1" x14ac:dyDescent="0.2">
      <c r="B39" s="373"/>
      <c r="C39" s="458"/>
      <c r="D39" s="507"/>
      <c r="E39" s="370"/>
      <c r="F39" s="370"/>
      <c r="G39" s="370"/>
      <c r="H39" s="459"/>
      <c r="I39" s="463"/>
      <c r="J39" s="463"/>
      <c r="K39" s="463"/>
    </row>
    <row r="40" spans="2:11" s="84" customFormat="1" ht="12" customHeight="1" x14ac:dyDescent="0.25">
      <c r="B40" s="441"/>
      <c r="C40" s="510"/>
      <c r="D40" s="374"/>
      <c r="E40" s="369"/>
      <c r="F40" s="369"/>
      <c r="G40" s="369"/>
      <c r="H40" s="456"/>
      <c r="I40" s="457"/>
      <c r="J40" s="457"/>
      <c r="K40" s="457"/>
    </row>
    <row r="41" spans="2:11" s="84" customFormat="1" ht="12" customHeight="1" x14ac:dyDescent="0.25">
      <c r="B41" s="373"/>
      <c r="C41" s="511"/>
      <c r="D41" s="373"/>
      <c r="E41" s="370"/>
      <c r="F41" s="370"/>
      <c r="G41" s="370"/>
      <c r="H41" s="459"/>
      <c r="I41" s="463"/>
      <c r="J41" s="463"/>
      <c r="K41" s="463"/>
    </row>
    <row r="42" spans="2:11" s="84" customFormat="1" ht="12" customHeight="1" x14ac:dyDescent="0.25">
      <c r="B42" s="103"/>
      <c r="C42" s="286"/>
      <c r="D42" s="285"/>
      <c r="E42" s="152"/>
      <c r="F42" s="297"/>
      <c r="G42" s="100"/>
      <c r="H42" s="100"/>
      <c r="I42" s="95"/>
      <c r="J42" s="95"/>
      <c r="K42" s="95"/>
    </row>
    <row r="43" spans="2:11" s="84" customFormat="1" ht="12" customHeight="1" x14ac:dyDescent="0.25">
      <c r="B43" s="96"/>
      <c r="C43" s="301"/>
      <c r="D43" s="359" t="s">
        <v>1143</v>
      </c>
      <c r="E43" s="153"/>
      <c r="F43" s="302"/>
      <c r="G43" s="153"/>
      <c r="H43" s="99"/>
      <c r="I43" s="112"/>
      <c r="J43" s="112"/>
      <c r="K43" s="112"/>
    </row>
  </sheetData>
  <mergeCells count="10">
    <mergeCell ref="B1:K1"/>
    <mergeCell ref="B2:K2"/>
    <mergeCell ref="B3:K3"/>
    <mergeCell ref="B4:B5"/>
    <mergeCell ref="C4:C5"/>
    <mergeCell ref="D4:D5"/>
    <mergeCell ref="E4:E5"/>
    <mergeCell ref="F4:F5"/>
    <mergeCell ref="G4:G5"/>
    <mergeCell ref="H4:H5"/>
  </mergeCells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44"/>
  <sheetViews>
    <sheetView view="pageBreakPreview" zoomScale="80" zoomScaleNormal="100" zoomScaleSheetLayoutView="80" workbookViewId="0">
      <selection sqref="A1:H1"/>
    </sheetView>
  </sheetViews>
  <sheetFormatPr defaultRowHeight="13.2" x14ac:dyDescent="0.25"/>
  <cols>
    <col min="1" max="1" width="6.33203125" customWidth="1"/>
    <col min="2" max="2" width="17.6640625" customWidth="1"/>
    <col min="3" max="3" width="68.33203125" customWidth="1"/>
    <col min="4" max="4" width="4.5546875" bestFit="1" customWidth="1"/>
    <col min="6" max="6" width="13.88671875" customWidth="1"/>
    <col min="7" max="7" width="17.33203125" customWidth="1"/>
    <col min="8" max="8" width="18.6640625" customWidth="1"/>
  </cols>
  <sheetData>
    <row r="1" spans="1:8" ht="28.5" customHeight="1" x14ac:dyDescent="0.35">
      <c r="A1" s="604" t="s">
        <v>867</v>
      </c>
      <c r="B1" s="605"/>
      <c r="C1" s="605"/>
      <c r="D1" s="605"/>
      <c r="E1" s="605"/>
      <c r="F1" s="605"/>
      <c r="G1" s="605"/>
      <c r="H1" s="606"/>
    </row>
    <row r="2" spans="1:8" ht="13.8" thickBot="1" x14ac:dyDescent="0.3">
      <c r="A2" s="379"/>
      <c r="D2" s="380"/>
      <c r="E2" s="380"/>
      <c r="F2" s="380"/>
      <c r="G2" s="380"/>
      <c r="H2" s="381"/>
    </row>
    <row r="3" spans="1:8" ht="27" thickBot="1" x14ac:dyDescent="0.3">
      <c r="A3" s="382" t="s">
        <v>195</v>
      </c>
      <c r="B3" s="383" t="s">
        <v>165</v>
      </c>
      <c r="C3" s="384" t="s">
        <v>196</v>
      </c>
      <c r="D3" s="383" t="s">
        <v>197</v>
      </c>
      <c r="E3" s="384" t="s">
        <v>198</v>
      </c>
      <c r="F3" s="383" t="s">
        <v>414</v>
      </c>
      <c r="G3" s="384" t="s">
        <v>218</v>
      </c>
      <c r="H3" s="385" t="s">
        <v>803</v>
      </c>
    </row>
    <row r="4" spans="1:8" ht="13.8" thickBot="1" x14ac:dyDescent="0.3">
      <c r="A4" s="386" t="s">
        <v>610</v>
      </c>
      <c r="B4" s="387"/>
      <c r="C4" s="388" t="s">
        <v>804</v>
      </c>
      <c r="D4" s="389"/>
      <c r="E4" s="390"/>
      <c r="F4" s="389"/>
      <c r="G4" s="390"/>
      <c r="H4" s="391"/>
    </row>
    <row r="5" spans="1:8" x14ac:dyDescent="0.25">
      <c r="A5" s="392">
        <v>6.1</v>
      </c>
      <c r="B5" s="393"/>
      <c r="C5" s="394" t="s">
        <v>805</v>
      </c>
      <c r="D5" s="395"/>
      <c r="E5" s="396"/>
      <c r="F5" s="395"/>
      <c r="G5" s="396"/>
      <c r="H5" s="397"/>
    </row>
    <row r="6" spans="1:8" ht="13.8" thickBot="1" x14ac:dyDescent="0.3">
      <c r="A6" s="398" t="s">
        <v>19</v>
      </c>
      <c r="B6" s="399"/>
      <c r="C6" s="400" t="s">
        <v>806</v>
      </c>
      <c r="D6" s="401" t="s">
        <v>204</v>
      </c>
      <c r="E6" s="402">
        <f>'[1]Total costs'!D55</f>
        <v>4012</v>
      </c>
      <c r="F6" s="401" t="s">
        <v>300</v>
      </c>
      <c r="G6" s="403"/>
      <c r="H6" s="404"/>
    </row>
    <row r="7" spans="1:8" x14ac:dyDescent="0.25">
      <c r="A7" s="392">
        <v>6.2</v>
      </c>
      <c r="B7" s="393"/>
      <c r="C7" s="394" t="s">
        <v>807</v>
      </c>
      <c r="D7" s="395"/>
      <c r="E7" s="396"/>
      <c r="F7" s="395"/>
      <c r="G7" s="396"/>
      <c r="H7" s="397"/>
    </row>
    <row r="8" spans="1:8" ht="13.8" thickBot="1" x14ac:dyDescent="0.3">
      <c r="A8" s="398" t="s">
        <v>20</v>
      </c>
      <c r="B8" s="399"/>
      <c r="C8" s="400" t="s">
        <v>808</v>
      </c>
      <c r="D8" s="401" t="s">
        <v>204</v>
      </c>
      <c r="E8" s="402">
        <f>'[1]Total costs'!D57</f>
        <v>430</v>
      </c>
      <c r="F8" s="401" t="s">
        <v>300</v>
      </c>
      <c r="G8" s="403"/>
      <c r="H8" s="404"/>
    </row>
    <row r="9" spans="1:8" x14ac:dyDescent="0.25">
      <c r="A9" s="392">
        <v>6.3</v>
      </c>
      <c r="B9" s="393"/>
      <c r="C9" s="394" t="s">
        <v>809</v>
      </c>
      <c r="D9" s="395"/>
      <c r="E9" s="396"/>
      <c r="F9" s="395"/>
      <c r="G9" s="396"/>
      <c r="H9" s="397"/>
    </row>
    <row r="10" spans="1:8" ht="13.8" thickBot="1" x14ac:dyDescent="0.3">
      <c r="A10" s="405" t="s">
        <v>21</v>
      </c>
      <c r="B10" s="399"/>
      <c r="C10" s="400" t="s">
        <v>810</v>
      </c>
      <c r="D10" s="401" t="s">
        <v>204</v>
      </c>
      <c r="E10" s="402">
        <f>'[1]Total costs'!D59</f>
        <v>358</v>
      </c>
      <c r="F10" s="401" t="s">
        <v>300</v>
      </c>
      <c r="G10" s="403"/>
      <c r="H10" s="404"/>
    </row>
    <row r="11" spans="1:8" x14ac:dyDescent="0.25">
      <c r="A11" s="392">
        <v>6.4</v>
      </c>
      <c r="B11" s="393"/>
      <c r="C11" s="394" t="s">
        <v>811</v>
      </c>
      <c r="D11" s="395"/>
      <c r="E11" s="396"/>
      <c r="F11" s="395"/>
      <c r="G11" s="396"/>
      <c r="H11" s="397"/>
    </row>
    <row r="12" spans="1:8" ht="13.8" thickBot="1" x14ac:dyDescent="0.3">
      <c r="A12" s="405" t="s">
        <v>22</v>
      </c>
      <c r="B12" s="399"/>
      <c r="C12" s="400" t="s">
        <v>812</v>
      </c>
      <c r="D12" s="401" t="s">
        <v>204</v>
      </c>
      <c r="E12" s="402">
        <f>'[1]Total costs'!D63*0.01</f>
        <v>49.480000000000004</v>
      </c>
      <c r="F12" s="401" t="s">
        <v>300</v>
      </c>
      <c r="G12" s="403"/>
      <c r="H12" s="404"/>
    </row>
    <row r="13" spans="1:8" x14ac:dyDescent="0.25">
      <c r="A13" s="392">
        <v>6.5</v>
      </c>
      <c r="B13" s="393"/>
      <c r="C13" s="394" t="s">
        <v>813</v>
      </c>
      <c r="D13" s="395"/>
      <c r="E13" s="396"/>
      <c r="F13" s="395"/>
      <c r="G13" s="396"/>
      <c r="H13" s="397"/>
    </row>
    <row r="14" spans="1:8" ht="13.8" thickBot="1" x14ac:dyDescent="0.3">
      <c r="A14" s="405" t="s">
        <v>23</v>
      </c>
      <c r="B14" s="399"/>
      <c r="C14" s="400" t="s">
        <v>814</v>
      </c>
      <c r="D14" s="401" t="s">
        <v>206</v>
      </c>
      <c r="E14" s="402">
        <f>'[1]Total costs'!C65</f>
        <v>120</v>
      </c>
      <c r="F14" s="401"/>
      <c r="G14" s="403"/>
      <c r="H14" s="404"/>
    </row>
    <row r="15" spans="1:8" x14ac:dyDescent="0.25">
      <c r="A15" s="392">
        <v>6.6</v>
      </c>
      <c r="B15" s="393"/>
      <c r="C15" s="394" t="s">
        <v>813</v>
      </c>
      <c r="D15" s="395"/>
      <c r="E15" s="396"/>
      <c r="F15" s="395"/>
      <c r="G15" s="396"/>
      <c r="H15" s="397"/>
    </row>
    <row r="16" spans="1:8" ht="13.8" thickBot="1" x14ac:dyDescent="0.3">
      <c r="A16" s="405" t="s">
        <v>24</v>
      </c>
      <c r="B16" s="399"/>
      <c r="C16" s="400" t="s">
        <v>815</v>
      </c>
      <c r="D16" s="401" t="s">
        <v>206</v>
      </c>
      <c r="E16" s="402">
        <f>'[1]Total costs'!E65</f>
        <v>84</v>
      </c>
      <c r="F16" s="401"/>
      <c r="G16" s="403"/>
      <c r="H16" s="404"/>
    </row>
    <row r="17" spans="1:8" x14ac:dyDescent="0.25">
      <c r="A17" s="392">
        <v>6.7</v>
      </c>
      <c r="B17" s="393"/>
      <c r="C17" s="394" t="s">
        <v>813</v>
      </c>
      <c r="D17" s="395"/>
      <c r="E17" s="396"/>
      <c r="F17" s="395"/>
      <c r="G17" s="396"/>
      <c r="H17" s="397"/>
    </row>
    <row r="18" spans="1:8" ht="13.8" thickBot="1" x14ac:dyDescent="0.3">
      <c r="A18" s="405" t="s">
        <v>25</v>
      </c>
      <c r="B18" s="399"/>
      <c r="C18" s="400" t="s">
        <v>816</v>
      </c>
      <c r="D18" s="401" t="s">
        <v>206</v>
      </c>
      <c r="E18" s="402">
        <f>'[1]Total costs'!G65</f>
        <v>36</v>
      </c>
      <c r="F18" s="401"/>
      <c r="G18" s="403"/>
      <c r="H18" s="404"/>
    </row>
    <row r="19" spans="1:8" x14ac:dyDescent="0.25">
      <c r="A19" s="392">
        <v>6.8</v>
      </c>
      <c r="B19" s="393"/>
      <c r="C19" s="394" t="s">
        <v>813</v>
      </c>
      <c r="D19" s="395"/>
      <c r="E19" s="396"/>
      <c r="F19" s="395"/>
      <c r="G19" s="396"/>
      <c r="H19" s="397"/>
    </row>
    <row r="20" spans="1:8" ht="13.8" thickBot="1" x14ac:dyDescent="0.3">
      <c r="A20" s="406" t="s">
        <v>26</v>
      </c>
      <c r="B20" s="407"/>
      <c r="C20" s="400" t="s">
        <v>817</v>
      </c>
      <c r="D20" s="408" t="s">
        <v>206</v>
      </c>
      <c r="E20" s="409">
        <v>0</v>
      </c>
      <c r="F20" s="408"/>
      <c r="G20" s="409"/>
      <c r="H20" s="410"/>
    </row>
    <row r="21" spans="1:8" x14ac:dyDescent="0.25">
      <c r="A21" s="392">
        <v>6.9</v>
      </c>
      <c r="B21" s="393"/>
      <c r="C21" s="394" t="s">
        <v>818</v>
      </c>
      <c r="D21" s="395"/>
      <c r="E21" s="396"/>
      <c r="F21" s="395"/>
      <c r="G21" s="396"/>
      <c r="H21" s="397"/>
    </row>
    <row r="22" spans="1:8" ht="13.8" thickBot="1" x14ac:dyDescent="0.3">
      <c r="A22" s="405" t="s">
        <v>27</v>
      </c>
      <c r="B22" s="399"/>
      <c r="C22" s="400" t="s">
        <v>819</v>
      </c>
      <c r="D22" s="401" t="s">
        <v>206</v>
      </c>
      <c r="E22" s="402">
        <f>'[1]Total costs'!I65*0.01</f>
        <v>2.4</v>
      </c>
      <c r="F22" s="401" t="s">
        <v>300</v>
      </c>
      <c r="G22" s="403"/>
      <c r="H22" s="404"/>
    </row>
    <row r="23" spans="1:8" x14ac:dyDescent="0.25">
      <c r="A23" s="411">
        <v>6.1</v>
      </c>
      <c r="B23" s="412"/>
      <c r="C23" s="413" t="s">
        <v>820</v>
      </c>
      <c r="D23" s="414"/>
      <c r="E23" s="415"/>
      <c r="F23" s="414"/>
      <c r="G23" s="415"/>
      <c r="H23" s="416"/>
    </row>
    <row r="24" spans="1:8" ht="13.8" thickBot="1" x14ac:dyDescent="0.3">
      <c r="A24" s="417" t="s">
        <v>28</v>
      </c>
      <c r="B24" s="407"/>
      <c r="C24" s="418" t="s">
        <v>821</v>
      </c>
      <c r="D24" s="408" t="s">
        <v>206</v>
      </c>
      <c r="E24" s="419">
        <f>'[1]Total costs'!I67</f>
        <v>0</v>
      </c>
      <c r="F24" s="408" t="s">
        <v>300</v>
      </c>
      <c r="G24" s="409"/>
      <c r="H24" s="410"/>
    </row>
    <row r="25" spans="1:8" x14ac:dyDescent="0.25">
      <c r="A25" s="420">
        <v>6.11</v>
      </c>
      <c r="B25" s="393"/>
      <c r="C25" s="394" t="s">
        <v>822</v>
      </c>
      <c r="D25" s="395"/>
      <c r="E25" s="396"/>
      <c r="F25" s="395"/>
      <c r="G25" s="396"/>
      <c r="H25" s="397"/>
    </row>
    <row r="26" spans="1:8" ht="13.8" thickBot="1" x14ac:dyDescent="0.3">
      <c r="A26" s="398" t="s">
        <v>29</v>
      </c>
      <c r="B26" s="399"/>
      <c r="C26" s="400" t="s">
        <v>823</v>
      </c>
      <c r="D26" s="401" t="s">
        <v>206</v>
      </c>
      <c r="E26" s="402">
        <f>'[1]Total costs'!I55</f>
        <v>1266</v>
      </c>
      <c r="F26" s="401" t="s">
        <v>300</v>
      </c>
      <c r="G26" s="403"/>
      <c r="H26" s="404"/>
    </row>
    <row r="27" spans="1:8" x14ac:dyDescent="0.25">
      <c r="A27" s="411">
        <v>6.12</v>
      </c>
      <c r="B27" s="412"/>
      <c r="C27" s="394" t="s">
        <v>824</v>
      </c>
      <c r="D27" s="414"/>
      <c r="E27" s="415"/>
      <c r="F27" s="414"/>
      <c r="G27" s="415"/>
      <c r="H27" s="416"/>
    </row>
    <row r="28" spans="1:8" ht="13.8" thickBot="1" x14ac:dyDescent="0.3">
      <c r="A28" s="417" t="s">
        <v>30</v>
      </c>
      <c r="B28" s="407"/>
      <c r="C28" s="400" t="s">
        <v>823</v>
      </c>
      <c r="D28" s="408" t="s">
        <v>206</v>
      </c>
      <c r="E28" s="419">
        <f>'[1]Total costs'!I57</f>
        <v>650</v>
      </c>
      <c r="F28" s="408" t="s">
        <v>300</v>
      </c>
      <c r="G28" s="409"/>
      <c r="H28" s="410"/>
    </row>
    <row r="29" spans="1:8" x14ac:dyDescent="0.25">
      <c r="A29" s="420">
        <v>6.13</v>
      </c>
      <c r="B29" s="393"/>
      <c r="C29" s="394" t="s">
        <v>825</v>
      </c>
      <c r="D29" s="395"/>
      <c r="E29" s="396"/>
      <c r="F29" s="395"/>
      <c r="G29" s="396"/>
      <c r="H29" s="397"/>
    </row>
    <row r="30" spans="1:8" ht="13.8" thickBot="1" x14ac:dyDescent="0.3">
      <c r="A30" s="398" t="s">
        <v>638</v>
      </c>
      <c r="B30" s="399"/>
      <c r="C30" s="400" t="s">
        <v>823</v>
      </c>
      <c r="D30" s="401" t="s">
        <v>206</v>
      </c>
      <c r="E30" s="402">
        <f>'[1]Total costs'!I59</f>
        <v>304</v>
      </c>
      <c r="F30" s="401" t="s">
        <v>300</v>
      </c>
      <c r="G30" s="403"/>
      <c r="H30" s="404"/>
    </row>
    <row r="31" spans="1:8" x14ac:dyDescent="0.25">
      <c r="A31" s="411">
        <v>6.14</v>
      </c>
      <c r="B31" s="412"/>
      <c r="C31" s="413" t="s">
        <v>826</v>
      </c>
      <c r="D31" s="414"/>
      <c r="E31" s="415"/>
      <c r="F31" s="414"/>
      <c r="G31" s="415"/>
      <c r="H31" s="416"/>
    </row>
    <row r="32" spans="1:8" ht="13.8" thickBot="1" x14ac:dyDescent="0.3">
      <c r="A32" s="417" t="s">
        <v>639</v>
      </c>
      <c r="B32" s="407"/>
      <c r="C32" s="418" t="s">
        <v>827</v>
      </c>
      <c r="D32" s="408" t="s">
        <v>206</v>
      </c>
      <c r="E32" s="419">
        <f>'[1]Total costs'!D83+'[1]Total costs'!D84+'[1]Total costs'!D85</f>
        <v>2</v>
      </c>
      <c r="F32" s="408" t="s">
        <v>300</v>
      </c>
      <c r="G32" s="409"/>
      <c r="H32" s="410"/>
    </row>
    <row r="33" spans="1:8" x14ac:dyDescent="0.25">
      <c r="A33" s="420">
        <v>6.15</v>
      </c>
      <c r="B33" s="393"/>
      <c r="C33" s="394" t="s">
        <v>828</v>
      </c>
      <c r="D33" s="395"/>
      <c r="E33" s="396"/>
      <c r="F33" s="395"/>
      <c r="G33" s="396"/>
      <c r="H33" s="397"/>
    </row>
    <row r="34" spans="1:8" ht="13.8" thickBot="1" x14ac:dyDescent="0.3">
      <c r="A34" s="398" t="s">
        <v>640</v>
      </c>
      <c r="B34" s="399"/>
      <c r="C34" s="400" t="s">
        <v>623</v>
      </c>
      <c r="D34" s="401" t="s">
        <v>206</v>
      </c>
      <c r="E34" s="402">
        <f>'[1]Total costs'!D74</f>
        <v>0</v>
      </c>
      <c r="F34" s="401" t="s">
        <v>300</v>
      </c>
      <c r="G34" s="403"/>
      <c r="H34" s="404"/>
    </row>
    <row r="35" spans="1:8" x14ac:dyDescent="0.25">
      <c r="A35" s="411">
        <v>6.16</v>
      </c>
      <c r="B35" s="412"/>
      <c r="C35" s="394" t="s">
        <v>829</v>
      </c>
      <c r="D35" s="414"/>
      <c r="E35" s="415"/>
      <c r="F35" s="414"/>
      <c r="G35" s="415"/>
      <c r="H35" s="416"/>
    </row>
    <row r="36" spans="1:8" ht="13.8" thickBot="1" x14ac:dyDescent="0.3">
      <c r="A36" s="417" t="s">
        <v>655</v>
      </c>
      <c r="B36" s="407"/>
      <c r="C36" s="400" t="s">
        <v>623</v>
      </c>
      <c r="D36" s="408" t="s">
        <v>206</v>
      </c>
      <c r="E36" s="419">
        <f>'[1]Total costs'!D73</f>
        <v>0</v>
      </c>
      <c r="F36" s="408" t="s">
        <v>300</v>
      </c>
      <c r="G36" s="409"/>
      <c r="H36" s="410"/>
    </row>
    <row r="37" spans="1:8" x14ac:dyDescent="0.25">
      <c r="A37" s="420">
        <v>6.17</v>
      </c>
      <c r="B37" s="393"/>
      <c r="C37" s="394" t="s">
        <v>830</v>
      </c>
      <c r="D37" s="395"/>
      <c r="E37" s="396"/>
      <c r="F37" s="395"/>
      <c r="G37" s="396"/>
      <c r="H37" s="397"/>
    </row>
    <row r="38" spans="1:8" ht="13.8" thickBot="1" x14ac:dyDescent="0.3">
      <c r="A38" s="398" t="s">
        <v>656</v>
      </c>
      <c r="B38" s="399"/>
      <c r="C38" s="400" t="s">
        <v>623</v>
      </c>
      <c r="D38" s="401" t="s">
        <v>206</v>
      </c>
      <c r="E38" s="402">
        <f>'[1]Total costs'!D75</f>
        <v>0</v>
      </c>
      <c r="F38" s="401" t="s">
        <v>300</v>
      </c>
      <c r="G38" s="403"/>
      <c r="H38" s="404"/>
    </row>
    <row r="39" spans="1:8" x14ac:dyDescent="0.25">
      <c r="A39" s="420">
        <v>6.1800000000000104</v>
      </c>
      <c r="B39" s="393"/>
      <c r="C39" s="394" t="s">
        <v>831</v>
      </c>
      <c r="D39" s="395"/>
      <c r="E39" s="396"/>
      <c r="F39" s="395"/>
      <c r="G39" s="396"/>
      <c r="H39" s="397"/>
    </row>
    <row r="40" spans="1:8" ht="13.8" thickBot="1" x14ac:dyDescent="0.3">
      <c r="A40" s="398" t="s">
        <v>657</v>
      </c>
      <c r="B40" s="399"/>
      <c r="C40" s="400" t="s">
        <v>623</v>
      </c>
      <c r="D40" s="401" t="s">
        <v>206</v>
      </c>
      <c r="E40" s="402">
        <f>'[1]Total costs'!D74</f>
        <v>0</v>
      </c>
      <c r="F40" s="401" t="s">
        <v>300</v>
      </c>
      <c r="G40" s="403"/>
      <c r="H40" s="404"/>
    </row>
    <row r="41" spans="1:8" x14ac:dyDescent="0.25">
      <c r="A41" s="411" t="s">
        <v>832</v>
      </c>
      <c r="B41" s="412"/>
      <c r="C41" s="413" t="s">
        <v>833</v>
      </c>
      <c r="D41" s="414"/>
      <c r="E41" s="415"/>
      <c r="F41" s="414"/>
      <c r="G41" s="415"/>
      <c r="H41" s="416"/>
    </row>
    <row r="42" spans="1:8" ht="13.8" thickBot="1" x14ac:dyDescent="0.3">
      <c r="A42" s="417" t="s">
        <v>834</v>
      </c>
      <c r="B42" s="407"/>
      <c r="C42" s="400" t="s">
        <v>835</v>
      </c>
      <c r="D42" s="408" t="s">
        <v>206</v>
      </c>
      <c r="E42" s="419">
        <f>'[1]Total costs'!H83</f>
        <v>0</v>
      </c>
      <c r="F42" s="408" t="s">
        <v>300</v>
      </c>
      <c r="G42" s="409"/>
      <c r="H42" s="410"/>
    </row>
    <row r="43" spans="1:8" x14ac:dyDescent="0.25">
      <c r="A43" s="420"/>
      <c r="B43" s="393"/>
      <c r="C43" s="394"/>
      <c r="D43" s="395"/>
      <c r="E43" s="396"/>
      <c r="F43" s="395"/>
      <c r="G43" s="396"/>
      <c r="H43" s="397"/>
    </row>
    <row r="44" spans="1:8" ht="13.8" thickBot="1" x14ac:dyDescent="0.3">
      <c r="A44" s="398"/>
      <c r="B44" s="399"/>
      <c r="C44" s="421" t="s">
        <v>184</v>
      </c>
      <c r="D44" s="401"/>
      <c r="E44" s="403"/>
      <c r="F44" s="401"/>
      <c r="G44" s="403"/>
      <c r="H44" s="40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42"/>
  <sheetViews>
    <sheetView view="pageBreakPreview" topLeftCell="A4" zoomScale="90" zoomScaleNormal="100" zoomScaleSheetLayoutView="90" workbookViewId="0">
      <selection sqref="A1:H1"/>
    </sheetView>
  </sheetViews>
  <sheetFormatPr defaultRowHeight="13.2" x14ac:dyDescent="0.25"/>
  <cols>
    <col min="1" max="1" width="6.33203125" customWidth="1"/>
    <col min="2" max="2" width="17.6640625" customWidth="1"/>
    <col min="3" max="3" width="68.33203125" customWidth="1"/>
    <col min="4" max="4" width="4.5546875" bestFit="1" customWidth="1"/>
    <col min="6" max="7" width="13.88671875" customWidth="1"/>
    <col min="8" max="8" width="11.6640625" customWidth="1"/>
  </cols>
  <sheetData>
    <row r="1" spans="1:8" ht="30" customHeight="1" x14ac:dyDescent="0.35">
      <c r="A1" s="604" t="s">
        <v>867</v>
      </c>
      <c r="B1" s="605"/>
      <c r="C1" s="605"/>
      <c r="D1" s="605"/>
      <c r="E1" s="605"/>
      <c r="F1" s="605"/>
      <c r="G1" s="605"/>
      <c r="H1" s="606"/>
    </row>
    <row r="2" spans="1:8" ht="13.8" thickBot="1" x14ac:dyDescent="0.3">
      <c r="A2" s="379"/>
      <c r="D2" s="380"/>
      <c r="E2" s="380"/>
      <c r="F2" s="380"/>
      <c r="G2" s="380"/>
      <c r="H2" s="381"/>
    </row>
    <row r="3" spans="1:8" ht="27" thickBot="1" x14ac:dyDescent="0.3">
      <c r="A3" s="382" t="s">
        <v>195</v>
      </c>
      <c r="B3" s="383" t="s">
        <v>165</v>
      </c>
      <c r="C3" s="384" t="s">
        <v>196</v>
      </c>
      <c r="D3" s="383" t="s">
        <v>197</v>
      </c>
      <c r="E3" s="384" t="s">
        <v>198</v>
      </c>
      <c r="F3" s="383" t="s">
        <v>414</v>
      </c>
      <c r="G3" s="384" t="s">
        <v>218</v>
      </c>
      <c r="H3" s="385" t="s">
        <v>803</v>
      </c>
    </row>
    <row r="4" spans="1:8" ht="13.8" thickBot="1" x14ac:dyDescent="0.3">
      <c r="A4" s="386" t="s">
        <v>610</v>
      </c>
      <c r="B4" s="387"/>
      <c r="C4" s="388" t="s">
        <v>804</v>
      </c>
      <c r="D4" s="389"/>
      <c r="E4" s="390"/>
      <c r="F4" s="389"/>
      <c r="G4" s="390"/>
      <c r="H4" s="391"/>
    </row>
    <row r="5" spans="1:8" x14ac:dyDescent="0.25">
      <c r="A5" s="420">
        <v>6.1900000000000102</v>
      </c>
      <c r="B5" s="393"/>
      <c r="C5" s="394" t="s">
        <v>624</v>
      </c>
      <c r="D5" s="395"/>
      <c r="E5" s="396"/>
      <c r="F5" s="395"/>
      <c r="G5" s="396"/>
      <c r="H5" s="397"/>
    </row>
    <row r="6" spans="1:8" ht="13.8" thickBot="1" x14ac:dyDescent="0.3">
      <c r="A6" s="398" t="s">
        <v>658</v>
      </c>
      <c r="B6" s="399"/>
      <c r="C6" s="400" t="s">
        <v>623</v>
      </c>
      <c r="D6" s="401" t="s">
        <v>206</v>
      </c>
      <c r="E6" s="402">
        <f>'[2]Total costs'!D71</f>
        <v>0</v>
      </c>
      <c r="F6" s="401" t="s">
        <v>300</v>
      </c>
      <c r="G6" s="403"/>
      <c r="H6" s="404"/>
    </row>
    <row r="7" spans="1:8" x14ac:dyDescent="0.25">
      <c r="A7" s="411">
        <v>6.2000000000000099</v>
      </c>
      <c r="B7" s="412"/>
      <c r="C7" s="394" t="s">
        <v>622</v>
      </c>
      <c r="D7" s="414"/>
      <c r="E7" s="415"/>
      <c r="F7" s="414"/>
      <c r="G7" s="415"/>
      <c r="H7" s="416"/>
    </row>
    <row r="8" spans="1:8" ht="13.8" thickBot="1" x14ac:dyDescent="0.3">
      <c r="A8" s="417" t="s">
        <v>660</v>
      </c>
      <c r="B8" s="407"/>
      <c r="C8" s="400" t="s">
        <v>623</v>
      </c>
      <c r="D8" s="408" t="s">
        <v>206</v>
      </c>
      <c r="E8" s="419">
        <v>0</v>
      </c>
      <c r="F8" s="408" t="s">
        <v>300</v>
      </c>
      <c r="G8" s="409"/>
      <c r="H8" s="410"/>
    </row>
    <row r="9" spans="1:8" x14ac:dyDescent="0.25">
      <c r="A9" s="420">
        <v>6.2100000000000097</v>
      </c>
      <c r="B9" s="393"/>
      <c r="C9" s="394" t="s">
        <v>836</v>
      </c>
      <c r="D9" s="395"/>
      <c r="E9" s="396"/>
      <c r="F9" s="395"/>
      <c r="G9" s="396"/>
      <c r="H9" s="397"/>
    </row>
    <row r="10" spans="1:8" ht="13.8" thickBot="1" x14ac:dyDescent="0.3">
      <c r="A10" s="398" t="s">
        <v>662</v>
      </c>
      <c r="B10" s="399"/>
      <c r="C10" s="400" t="s">
        <v>623</v>
      </c>
      <c r="D10" s="401" t="s">
        <v>206</v>
      </c>
      <c r="E10" s="402">
        <v>0</v>
      </c>
      <c r="F10" s="401" t="s">
        <v>300</v>
      </c>
      <c r="G10" s="403"/>
      <c r="H10" s="404"/>
    </row>
    <row r="11" spans="1:8" x14ac:dyDescent="0.25">
      <c r="A11" s="411">
        <v>6.2200000000000104</v>
      </c>
      <c r="B11" s="412"/>
      <c r="C11" s="394" t="s">
        <v>837</v>
      </c>
      <c r="D11" s="414"/>
      <c r="E11" s="415"/>
      <c r="F11" s="414"/>
      <c r="G11" s="415"/>
      <c r="H11" s="416"/>
    </row>
    <row r="12" spans="1:8" ht="13.8" thickBot="1" x14ac:dyDescent="0.3">
      <c r="A12" s="417" t="s">
        <v>664</v>
      </c>
      <c r="B12" s="407"/>
      <c r="C12" s="400" t="s">
        <v>623</v>
      </c>
      <c r="D12" s="408" t="s">
        <v>206</v>
      </c>
      <c r="E12" s="419">
        <f>'[2]Total costs'!D78</f>
        <v>0</v>
      </c>
      <c r="F12" s="408" t="s">
        <v>300</v>
      </c>
      <c r="G12" s="409"/>
      <c r="H12" s="410"/>
    </row>
    <row r="13" spans="1:8" x14ac:dyDescent="0.25">
      <c r="A13" s="420">
        <v>6.2300000000000102</v>
      </c>
      <c r="B13" s="393"/>
      <c r="C13" s="394" t="s">
        <v>838</v>
      </c>
      <c r="D13" s="395"/>
      <c r="E13" s="396"/>
      <c r="F13" s="395"/>
      <c r="G13" s="396"/>
      <c r="H13" s="397"/>
    </row>
    <row r="14" spans="1:8" ht="13.8" thickBot="1" x14ac:dyDescent="0.3">
      <c r="A14" s="398" t="s">
        <v>666</v>
      </c>
      <c r="B14" s="399"/>
      <c r="C14" s="400" t="s">
        <v>623</v>
      </c>
      <c r="D14" s="401" t="s">
        <v>206</v>
      </c>
      <c r="E14" s="402">
        <v>0</v>
      </c>
      <c r="F14" s="401" t="s">
        <v>300</v>
      </c>
      <c r="G14" s="403"/>
      <c r="H14" s="404"/>
    </row>
    <row r="15" spans="1:8" x14ac:dyDescent="0.25">
      <c r="A15" s="411">
        <v>6.24000000000001</v>
      </c>
      <c r="B15" s="412"/>
      <c r="C15" s="394" t="s">
        <v>839</v>
      </c>
      <c r="D15" s="414"/>
      <c r="E15" s="415"/>
      <c r="F15" s="414"/>
      <c r="G15" s="415"/>
      <c r="H15" s="416"/>
    </row>
    <row r="16" spans="1:8" ht="13.8" thickBot="1" x14ac:dyDescent="0.3">
      <c r="A16" s="417" t="s">
        <v>668</v>
      </c>
      <c r="B16" s="407"/>
      <c r="C16" s="400" t="s">
        <v>623</v>
      </c>
      <c r="D16" s="408" t="s">
        <v>206</v>
      </c>
      <c r="E16" s="419">
        <v>0</v>
      </c>
      <c r="F16" s="408" t="s">
        <v>300</v>
      </c>
      <c r="G16" s="409"/>
      <c r="H16" s="410"/>
    </row>
    <row r="17" spans="1:8" x14ac:dyDescent="0.25">
      <c r="A17" s="420">
        <v>6.2500000000000098</v>
      </c>
      <c r="B17" s="393"/>
      <c r="C17" s="394" t="s">
        <v>840</v>
      </c>
      <c r="D17" s="395"/>
      <c r="E17" s="396"/>
      <c r="F17" s="395"/>
      <c r="G17" s="396"/>
      <c r="H17" s="397"/>
    </row>
    <row r="18" spans="1:8" ht="13.8" thickBot="1" x14ac:dyDescent="0.3">
      <c r="A18" s="398" t="s">
        <v>686</v>
      </c>
      <c r="B18" s="399"/>
      <c r="C18" s="400" t="s">
        <v>623</v>
      </c>
      <c r="D18" s="401" t="s">
        <v>206</v>
      </c>
      <c r="E18" s="402">
        <f>'[2]Total costs'!D81</f>
        <v>0</v>
      </c>
      <c r="F18" s="401" t="s">
        <v>300</v>
      </c>
      <c r="G18" s="403"/>
      <c r="H18" s="404"/>
    </row>
    <row r="19" spans="1:8" x14ac:dyDescent="0.25">
      <c r="A19" s="411">
        <v>6.2600000000000096</v>
      </c>
      <c r="B19" s="412"/>
      <c r="C19" s="394" t="s">
        <v>841</v>
      </c>
      <c r="D19" s="414"/>
      <c r="E19" s="415"/>
      <c r="F19" s="414"/>
      <c r="G19" s="415"/>
      <c r="H19" s="416"/>
    </row>
    <row r="20" spans="1:8" ht="13.8" thickBot="1" x14ac:dyDescent="0.3">
      <c r="A20" s="417" t="s">
        <v>670</v>
      </c>
      <c r="B20" s="407"/>
      <c r="C20" s="400" t="s">
        <v>623</v>
      </c>
      <c r="D20" s="408" t="s">
        <v>206</v>
      </c>
      <c r="E20" s="419">
        <v>0</v>
      </c>
      <c r="F20" s="408" t="s">
        <v>300</v>
      </c>
      <c r="G20" s="409"/>
      <c r="H20" s="410"/>
    </row>
    <row r="21" spans="1:8" x14ac:dyDescent="0.25">
      <c r="A21" s="420">
        <v>6.2700000000000102</v>
      </c>
      <c r="B21" s="393"/>
      <c r="C21" s="394" t="s">
        <v>842</v>
      </c>
      <c r="D21" s="395"/>
      <c r="E21" s="396"/>
      <c r="F21" s="395"/>
      <c r="G21" s="396"/>
      <c r="H21" s="397"/>
    </row>
    <row r="22" spans="1:8" ht="13.8" thickBot="1" x14ac:dyDescent="0.3">
      <c r="A22" s="398" t="s">
        <v>672</v>
      </c>
      <c r="B22" s="399"/>
      <c r="C22" s="400" t="s">
        <v>623</v>
      </c>
      <c r="D22" s="401" t="s">
        <v>206</v>
      </c>
      <c r="E22" s="403">
        <v>0</v>
      </c>
      <c r="F22" s="401" t="s">
        <v>300</v>
      </c>
      <c r="G22" s="403"/>
      <c r="H22" s="404"/>
    </row>
    <row r="23" spans="1:8" x14ac:dyDescent="0.25">
      <c r="A23" s="411">
        <v>6.28000000000001</v>
      </c>
      <c r="B23" s="412"/>
      <c r="C23" s="394" t="s">
        <v>843</v>
      </c>
      <c r="D23" s="414"/>
      <c r="E23" s="415"/>
      <c r="F23" s="414"/>
      <c r="G23" s="415"/>
      <c r="H23" s="416"/>
    </row>
    <row r="24" spans="1:8" ht="13.8" thickBot="1" x14ac:dyDescent="0.3">
      <c r="A24" s="417" t="s">
        <v>673</v>
      </c>
      <c r="B24" s="407"/>
      <c r="C24" s="400" t="s">
        <v>623</v>
      </c>
      <c r="D24" s="408" t="s">
        <v>206</v>
      </c>
      <c r="E24" s="409">
        <f>'[2]Total costs'!H71</f>
        <v>0</v>
      </c>
      <c r="F24" s="408" t="s">
        <v>300</v>
      </c>
      <c r="G24" s="409"/>
      <c r="H24" s="410"/>
    </row>
    <row r="25" spans="1:8" x14ac:dyDescent="0.25">
      <c r="A25" s="420">
        <v>6.2900000000000098</v>
      </c>
      <c r="B25" s="393"/>
      <c r="C25" s="394" t="s">
        <v>844</v>
      </c>
      <c r="D25" s="395"/>
      <c r="E25" s="396"/>
      <c r="F25" s="395"/>
      <c r="G25" s="396"/>
      <c r="H25" s="397"/>
    </row>
    <row r="26" spans="1:8" ht="13.8" thickBot="1" x14ac:dyDescent="0.3">
      <c r="A26" s="398" t="s">
        <v>675</v>
      </c>
      <c r="B26" s="399"/>
      <c r="C26" s="400" t="s">
        <v>623</v>
      </c>
      <c r="D26" s="401" t="s">
        <v>206</v>
      </c>
      <c r="E26" s="402">
        <f>'[2]Total costs'!H75</f>
        <v>0</v>
      </c>
      <c r="F26" s="401" t="s">
        <v>300</v>
      </c>
      <c r="G26" s="403"/>
      <c r="H26" s="404"/>
    </row>
    <row r="27" spans="1:8" x14ac:dyDescent="0.25">
      <c r="A27" s="411">
        <v>6.3000000000000096</v>
      </c>
      <c r="B27" s="412"/>
      <c r="C27" s="394" t="s">
        <v>845</v>
      </c>
      <c r="D27" s="414"/>
      <c r="E27" s="415"/>
      <c r="F27" s="414"/>
      <c r="G27" s="415"/>
      <c r="H27" s="416"/>
    </row>
    <row r="28" spans="1:8" ht="13.8" thickBot="1" x14ac:dyDescent="0.3">
      <c r="A28" s="417" t="s">
        <v>677</v>
      </c>
      <c r="B28" s="407"/>
      <c r="C28" s="400" t="s">
        <v>835</v>
      </c>
      <c r="D28" s="408" t="s">
        <v>206</v>
      </c>
      <c r="E28" s="419">
        <v>0</v>
      </c>
      <c r="F28" s="408" t="s">
        <v>300</v>
      </c>
      <c r="G28" s="409"/>
      <c r="H28" s="410"/>
    </row>
    <row r="29" spans="1:8" x14ac:dyDescent="0.25">
      <c r="A29" s="420">
        <v>6.3100000000000103</v>
      </c>
      <c r="B29" s="393"/>
      <c r="C29" s="394" t="s">
        <v>846</v>
      </c>
      <c r="D29" s="395"/>
      <c r="E29" s="396"/>
      <c r="F29" s="395"/>
      <c r="G29" s="396"/>
      <c r="H29" s="397"/>
    </row>
    <row r="30" spans="1:8" ht="13.8" thickBot="1" x14ac:dyDescent="0.3">
      <c r="A30" s="398" t="s">
        <v>679</v>
      </c>
      <c r="B30" s="399"/>
      <c r="C30" s="400" t="s">
        <v>623</v>
      </c>
      <c r="D30" s="401" t="s">
        <v>206</v>
      </c>
      <c r="E30" s="402">
        <f>'[2]Total costs'!H77</f>
        <v>1</v>
      </c>
      <c r="F30" s="401" t="s">
        <v>300</v>
      </c>
      <c r="G30" s="403"/>
      <c r="H30" s="404"/>
    </row>
    <row r="31" spans="1:8" x14ac:dyDescent="0.25">
      <c r="A31" s="420">
        <v>6.3200000000000101</v>
      </c>
      <c r="B31" s="393"/>
      <c r="C31" s="394" t="s">
        <v>973</v>
      </c>
      <c r="D31" s="414"/>
      <c r="E31" s="415"/>
      <c r="F31" s="414"/>
      <c r="G31" s="415"/>
      <c r="H31" s="416"/>
    </row>
    <row r="32" spans="1:8" ht="13.8" thickBot="1" x14ac:dyDescent="0.3">
      <c r="A32" s="398" t="s">
        <v>680</v>
      </c>
      <c r="B32" s="399"/>
      <c r="C32" s="400" t="s">
        <v>623</v>
      </c>
      <c r="D32" s="408" t="s">
        <v>206</v>
      </c>
      <c r="E32" s="419">
        <f>'[2]Total costs'!H78</f>
        <v>0</v>
      </c>
      <c r="F32" s="408" t="s">
        <v>300</v>
      </c>
      <c r="G32" s="409"/>
      <c r="H32" s="410"/>
    </row>
    <row r="33" spans="1:8" x14ac:dyDescent="0.25">
      <c r="A33" s="411">
        <v>6.33</v>
      </c>
      <c r="B33" s="412"/>
      <c r="C33" s="413" t="s">
        <v>974</v>
      </c>
      <c r="D33" s="395"/>
      <c r="E33" s="396"/>
      <c r="F33" s="395"/>
      <c r="G33" s="396"/>
      <c r="H33" s="397"/>
    </row>
    <row r="34" spans="1:8" ht="13.8" thickBot="1" x14ac:dyDescent="0.3">
      <c r="A34" s="417" t="s">
        <v>682</v>
      </c>
      <c r="B34" s="407"/>
      <c r="C34" s="400" t="s">
        <v>623</v>
      </c>
      <c r="D34" s="401" t="s">
        <v>206</v>
      </c>
      <c r="E34" s="402">
        <f>'[2]Total costs'!H79</f>
        <v>1</v>
      </c>
      <c r="F34" s="401" t="s">
        <v>300</v>
      </c>
      <c r="G34" s="403"/>
      <c r="H34" s="404"/>
    </row>
    <row r="35" spans="1:8" x14ac:dyDescent="0.25">
      <c r="A35" s="420">
        <v>6.34</v>
      </c>
      <c r="B35" s="393"/>
      <c r="C35" s="394" t="s">
        <v>847</v>
      </c>
      <c r="D35" s="414"/>
      <c r="E35" s="415"/>
      <c r="F35" s="414"/>
      <c r="G35" s="415"/>
      <c r="H35" s="416"/>
    </row>
    <row r="36" spans="1:8" ht="13.8" thickBot="1" x14ac:dyDescent="0.3">
      <c r="A36" s="398" t="s">
        <v>684</v>
      </c>
      <c r="B36" s="399"/>
      <c r="C36" s="400" t="s">
        <v>623</v>
      </c>
      <c r="D36" s="408" t="s">
        <v>206</v>
      </c>
      <c r="E36" s="409">
        <v>1</v>
      </c>
      <c r="F36" s="408" t="s">
        <v>300</v>
      </c>
      <c r="G36" s="409"/>
      <c r="H36" s="410"/>
    </row>
    <row r="37" spans="1:8" x14ac:dyDescent="0.25">
      <c r="A37" s="411">
        <v>6.35</v>
      </c>
      <c r="B37" s="412"/>
      <c r="C37" s="394" t="s">
        <v>848</v>
      </c>
      <c r="D37" s="395"/>
      <c r="E37" s="396"/>
      <c r="F37" s="395"/>
      <c r="G37" s="396"/>
      <c r="H37" s="397"/>
    </row>
    <row r="38" spans="1:8" ht="13.8" thickBot="1" x14ac:dyDescent="0.3">
      <c r="A38" s="417" t="s">
        <v>695</v>
      </c>
      <c r="B38" s="407"/>
      <c r="C38" s="400" t="s">
        <v>623</v>
      </c>
      <c r="D38" s="401" t="s">
        <v>206</v>
      </c>
      <c r="E38" s="403">
        <v>0</v>
      </c>
      <c r="F38" s="401" t="s">
        <v>300</v>
      </c>
      <c r="G38" s="403"/>
      <c r="H38" s="404"/>
    </row>
    <row r="39" spans="1:8" x14ac:dyDescent="0.25">
      <c r="A39" s="420">
        <v>6.36</v>
      </c>
      <c r="B39" s="393"/>
      <c r="C39" s="394" t="s">
        <v>849</v>
      </c>
      <c r="D39" s="414"/>
      <c r="E39" s="415"/>
      <c r="F39" s="414"/>
      <c r="G39" s="415"/>
      <c r="H39" s="416"/>
    </row>
    <row r="40" spans="1:8" ht="13.8" thickBot="1" x14ac:dyDescent="0.3">
      <c r="A40" s="398" t="s">
        <v>688</v>
      </c>
      <c r="B40" s="399"/>
      <c r="C40" s="400" t="s">
        <v>623</v>
      </c>
      <c r="D40" s="408" t="s">
        <v>206</v>
      </c>
      <c r="E40" s="409">
        <v>0</v>
      </c>
      <c r="F40" s="408" t="s">
        <v>300</v>
      </c>
      <c r="G40" s="409"/>
      <c r="H40" s="410"/>
    </row>
    <row r="41" spans="1:8" x14ac:dyDescent="0.25">
      <c r="A41" s="420"/>
      <c r="B41" s="393"/>
      <c r="C41" s="394"/>
      <c r="D41" s="395"/>
      <c r="E41" s="396"/>
      <c r="F41" s="395"/>
      <c r="G41" s="396"/>
      <c r="H41" s="397"/>
    </row>
    <row r="42" spans="1:8" ht="13.8" thickBot="1" x14ac:dyDescent="0.3">
      <c r="A42" s="398"/>
      <c r="B42" s="399"/>
      <c r="C42" s="421" t="s">
        <v>184</v>
      </c>
      <c r="D42" s="401"/>
      <c r="E42" s="403"/>
      <c r="F42" s="401"/>
      <c r="G42" s="403"/>
      <c r="H42" s="40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2"/>
  <sheetViews>
    <sheetView view="pageBreakPreview" zoomScale="90" zoomScaleNormal="100" zoomScaleSheetLayoutView="90" workbookViewId="0">
      <selection sqref="A1:H1"/>
    </sheetView>
  </sheetViews>
  <sheetFormatPr defaultRowHeight="13.2" x14ac:dyDescent="0.25"/>
  <cols>
    <col min="1" max="1" width="6.33203125" customWidth="1"/>
    <col min="2" max="2" width="17.6640625" customWidth="1"/>
    <col min="3" max="3" width="68.33203125" customWidth="1"/>
    <col min="4" max="4" width="4.5546875" bestFit="1" customWidth="1"/>
    <col min="6" max="7" width="13.88671875" customWidth="1"/>
    <col min="8" max="8" width="11.6640625" customWidth="1"/>
  </cols>
  <sheetData>
    <row r="1" spans="1:8" ht="30" customHeight="1" x14ac:dyDescent="0.35">
      <c r="A1" s="604" t="s">
        <v>867</v>
      </c>
      <c r="B1" s="605"/>
      <c r="C1" s="605"/>
      <c r="D1" s="605"/>
      <c r="E1" s="605"/>
      <c r="F1" s="605"/>
      <c r="G1" s="605"/>
      <c r="H1" s="606"/>
    </row>
    <row r="2" spans="1:8" ht="13.8" thickBot="1" x14ac:dyDescent="0.3">
      <c r="A2" s="379"/>
      <c r="D2" s="380"/>
      <c r="E2" s="380"/>
      <c r="F2" s="380"/>
      <c r="G2" s="380"/>
      <c r="H2" s="381"/>
    </row>
    <row r="3" spans="1:8" ht="27" thickBot="1" x14ac:dyDescent="0.3">
      <c r="A3" s="382" t="s">
        <v>195</v>
      </c>
      <c r="B3" s="383" t="s">
        <v>165</v>
      </c>
      <c r="C3" s="384" t="s">
        <v>196</v>
      </c>
      <c r="D3" s="383" t="s">
        <v>197</v>
      </c>
      <c r="E3" s="384" t="s">
        <v>198</v>
      </c>
      <c r="F3" s="383" t="s">
        <v>414</v>
      </c>
      <c r="G3" s="384" t="s">
        <v>218</v>
      </c>
      <c r="H3" s="385" t="s">
        <v>803</v>
      </c>
    </row>
    <row r="4" spans="1:8" ht="13.8" thickBot="1" x14ac:dyDescent="0.3">
      <c r="A4" s="386" t="s">
        <v>610</v>
      </c>
      <c r="B4" s="387"/>
      <c r="C4" s="388" t="s">
        <v>804</v>
      </c>
      <c r="D4" s="389"/>
      <c r="E4" s="390"/>
      <c r="F4" s="389"/>
      <c r="G4" s="390"/>
      <c r="H4" s="391"/>
    </row>
    <row r="5" spans="1:8" x14ac:dyDescent="0.25">
      <c r="A5" s="420">
        <v>6.37</v>
      </c>
      <c r="B5" s="393"/>
      <c r="C5" s="394" t="s">
        <v>850</v>
      </c>
      <c r="D5" s="395"/>
      <c r="E5" s="396"/>
      <c r="F5" s="395"/>
      <c r="G5" s="396"/>
      <c r="H5" s="397"/>
    </row>
    <row r="6" spans="1:8" ht="13.8" thickBot="1" x14ac:dyDescent="0.3">
      <c r="A6" s="398" t="s">
        <v>690</v>
      </c>
      <c r="B6" s="399"/>
      <c r="C6" s="400" t="s">
        <v>623</v>
      </c>
      <c r="D6" s="401" t="s">
        <v>206</v>
      </c>
      <c r="E6" s="403">
        <v>1</v>
      </c>
      <c r="F6" s="401" t="s">
        <v>300</v>
      </c>
      <c r="G6" s="403"/>
      <c r="H6" s="404"/>
    </row>
    <row r="7" spans="1:8" x14ac:dyDescent="0.25">
      <c r="A7" s="420">
        <v>6.38</v>
      </c>
      <c r="B7" s="393"/>
      <c r="C7" s="394" t="s">
        <v>851</v>
      </c>
      <c r="D7" s="395"/>
      <c r="E7" s="415"/>
      <c r="F7" s="414"/>
      <c r="G7" s="415"/>
      <c r="H7" s="416"/>
    </row>
    <row r="8" spans="1:8" ht="13.8" thickBot="1" x14ac:dyDescent="0.3">
      <c r="A8" s="398" t="s">
        <v>692</v>
      </c>
      <c r="B8" s="399"/>
      <c r="C8" s="400" t="s">
        <v>852</v>
      </c>
      <c r="D8" s="401" t="s">
        <v>853</v>
      </c>
      <c r="E8" s="402"/>
      <c r="F8" s="401"/>
      <c r="G8" s="403"/>
      <c r="H8" s="404"/>
    </row>
    <row r="9" spans="1:8" x14ac:dyDescent="0.25">
      <c r="A9" s="411">
        <v>6.39</v>
      </c>
      <c r="B9" s="412"/>
      <c r="C9" s="413" t="s">
        <v>854</v>
      </c>
      <c r="D9" s="414"/>
      <c r="E9" s="396"/>
      <c r="F9" s="395"/>
      <c r="G9" s="396"/>
      <c r="H9" s="397"/>
    </row>
    <row r="10" spans="1:8" ht="13.8" thickBot="1" x14ac:dyDescent="0.3">
      <c r="A10" s="398" t="s">
        <v>857</v>
      </c>
      <c r="B10" s="399"/>
      <c r="C10" s="400" t="s">
        <v>855</v>
      </c>
      <c r="D10" s="401" t="s">
        <v>206</v>
      </c>
      <c r="E10" s="403">
        <v>0</v>
      </c>
      <c r="F10" s="401"/>
      <c r="G10" s="403"/>
      <c r="H10" s="404"/>
    </row>
    <row r="11" spans="1:8" x14ac:dyDescent="0.25">
      <c r="A11" s="420">
        <v>6.4</v>
      </c>
      <c r="B11" s="393"/>
      <c r="C11" s="394" t="s">
        <v>856</v>
      </c>
      <c r="D11" s="395"/>
      <c r="E11" s="396"/>
      <c r="F11" s="395"/>
      <c r="G11" s="396"/>
      <c r="H11" s="397"/>
    </row>
    <row r="12" spans="1:8" ht="13.8" thickBot="1" x14ac:dyDescent="0.3">
      <c r="A12" s="398" t="s">
        <v>860</v>
      </c>
      <c r="B12" s="399"/>
      <c r="C12" s="400" t="s">
        <v>858</v>
      </c>
      <c r="D12" s="401" t="s">
        <v>204</v>
      </c>
      <c r="E12" s="402"/>
      <c r="F12" s="401" t="s">
        <v>300</v>
      </c>
      <c r="G12" s="403"/>
      <c r="H12" s="404"/>
    </row>
    <row r="13" spans="1:8" x14ac:dyDescent="0.25">
      <c r="A13" s="420">
        <v>6.41</v>
      </c>
      <c r="B13" s="393"/>
      <c r="C13" s="394" t="s">
        <v>859</v>
      </c>
      <c r="D13" s="395"/>
      <c r="E13" s="396"/>
      <c r="F13" s="395"/>
      <c r="G13" s="396"/>
      <c r="H13" s="397"/>
    </row>
    <row r="14" spans="1:8" ht="13.8" thickBot="1" x14ac:dyDescent="0.3">
      <c r="A14" s="398" t="s">
        <v>862</v>
      </c>
      <c r="B14" s="399"/>
      <c r="C14" s="400" t="s">
        <v>810</v>
      </c>
      <c r="D14" s="401" t="s">
        <v>204</v>
      </c>
      <c r="E14" s="402">
        <f>'[2]Total costs'!D61</f>
        <v>0</v>
      </c>
      <c r="F14" s="401" t="s">
        <v>300</v>
      </c>
      <c r="G14" s="403"/>
      <c r="H14" s="404"/>
    </row>
    <row r="15" spans="1:8" x14ac:dyDescent="0.25">
      <c r="A15" s="420">
        <v>6.42</v>
      </c>
      <c r="B15" s="393"/>
      <c r="C15" s="394" t="s">
        <v>861</v>
      </c>
      <c r="D15" s="395"/>
      <c r="E15" s="396"/>
      <c r="F15" s="395"/>
      <c r="G15" s="396"/>
      <c r="H15" s="397"/>
    </row>
    <row r="16" spans="1:8" ht="13.8" thickBot="1" x14ac:dyDescent="0.3">
      <c r="A16" s="398" t="s">
        <v>865</v>
      </c>
      <c r="B16" s="399"/>
      <c r="C16" s="400" t="s">
        <v>863</v>
      </c>
      <c r="D16" s="401" t="s">
        <v>204</v>
      </c>
      <c r="E16" s="402">
        <v>148</v>
      </c>
      <c r="F16" s="401" t="s">
        <v>300</v>
      </c>
      <c r="G16" s="403"/>
      <c r="H16" s="404"/>
    </row>
    <row r="17" spans="1:8" x14ac:dyDescent="0.25">
      <c r="A17" s="420">
        <v>6.43</v>
      </c>
      <c r="B17" s="393"/>
      <c r="C17" s="394" t="s">
        <v>864</v>
      </c>
      <c r="D17" s="395"/>
      <c r="E17" s="396"/>
      <c r="F17" s="395"/>
      <c r="G17" s="396"/>
      <c r="H17" s="397"/>
    </row>
    <row r="18" spans="1:8" ht="13.8" thickBot="1" x14ac:dyDescent="0.3">
      <c r="A18" s="398" t="s">
        <v>975</v>
      </c>
      <c r="B18" s="399"/>
      <c r="C18" s="400" t="s">
        <v>866</v>
      </c>
      <c r="D18" s="401" t="s">
        <v>206</v>
      </c>
      <c r="E18" s="403">
        <v>1</v>
      </c>
      <c r="F18" s="401"/>
      <c r="G18" s="403"/>
      <c r="H18" s="404"/>
    </row>
    <row r="19" spans="1:8" x14ac:dyDescent="0.25">
      <c r="A19" s="420">
        <v>6.44</v>
      </c>
      <c r="B19" s="393"/>
      <c r="C19" s="394" t="s">
        <v>976</v>
      </c>
      <c r="D19" s="395"/>
      <c r="E19" s="396"/>
      <c r="F19" s="395"/>
      <c r="G19" s="396"/>
      <c r="H19" s="397"/>
    </row>
    <row r="20" spans="1:8" ht="13.8" thickBot="1" x14ac:dyDescent="0.3">
      <c r="A20" s="398" t="s">
        <v>977</v>
      </c>
      <c r="B20" s="399"/>
      <c r="C20" s="400" t="s">
        <v>821</v>
      </c>
      <c r="D20" s="401" t="s">
        <v>206</v>
      </c>
      <c r="E20" s="403">
        <v>0</v>
      </c>
      <c r="F20" s="401"/>
      <c r="G20" s="403"/>
      <c r="H20" s="404"/>
    </row>
    <row r="21" spans="1:8" x14ac:dyDescent="0.25">
      <c r="A21" s="411">
        <v>6.45</v>
      </c>
      <c r="B21" s="412"/>
      <c r="C21" s="413" t="s">
        <v>978</v>
      </c>
      <c r="D21" s="414"/>
      <c r="E21" s="396"/>
      <c r="F21" s="395"/>
      <c r="G21" s="396"/>
      <c r="H21" s="397"/>
    </row>
    <row r="22" spans="1:8" ht="13.8" thickBot="1" x14ac:dyDescent="0.3">
      <c r="A22" s="398" t="s">
        <v>979</v>
      </c>
      <c r="B22" s="399"/>
      <c r="C22" s="418" t="s">
        <v>821</v>
      </c>
      <c r="D22" s="401" t="s">
        <v>206</v>
      </c>
      <c r="E22" s="403">
        <v>1</v>
      </c>
      <c r="F22" s="401"/>
      <c r="G22" s="403"/>
      <c r="H22" s="404"/>
    </row>
    <row r="23" spans="1:8" x14ac:dyDescent="0.25">
      <c r="A23" s="420"/>
      <c r="B23" s="393"/>
      <c r="C23" s="394"/>
      <c r="D23" s="395"/>
      <c r="E23" s="396"/>
      <c r="F23" s="395"/>
      <c r="G23" s="396"/>
      <c r="H23" s="397"/>
    </row>
    <row r="24" spans="1:8" ht="13.8" thickBot="1" x14ac:dyDescent="0.3">
      <c r="A24" s="398"/>
      <c r="B24" s="399"/>
      <c r="C24" s="400"/>
      <c r="D24" s="401"/>
      <c r="E24" s="403"/>
      <c r="F24" s="401"/>
      <c r="G24" s="403"/>
      <c r="H24" s="404"/>
    </row>
    <row r="25" spans="1:8" x14ac:dyDescent="0.25">
      <c r="A25" s="420"/>
      <c r="B25" s="393"/>
      <c r="C25" s="394"/>
      <c r="D25" s="395"/>
      <c r="E25" s="396"/>
      <c r="F25" s="395"/>
      <c r="G25" s="396"/>
      <c r="H25" s="397"/>
    </row>
    <row r="26" spans="1:8" ht="13.8" thickBot="1" x14ac:dyDescent="0.3">
      <c r="A26" s="398"/>
      <c r="B26" s="399"/>
      <c r="C26" s="400"/>
      <c r="D26" s="401"/>
      <c r="E26" s="403"/>
      <c r="F26" s="401"/>
      <c r="G26" s="403"/>
      <c r="H26" s="404"/>
    </row>
    <row r="27" spans="1:8" x14ac:dyDescent="0.25">
      <c r="A27" s="420"/>
      <c r="B27" s="393"/>
      <c r="C27" s="394"/>
      <c r="D27" s="395"/>
      <c r="E27" s="396"/>
      <c r="F27" s="395"/>
      <c r="G27" s="396"/>
      <c r="H27" s="397"/>
    </row>
    <row r="28" spans="1:8" ht="13.8" thickBot="1" x14ac:dyDescent="0.3">
      <c r="A28" s="398"/>
      <c r="B28" s="399"/>
      <c r="C28" s="400"/>
      <c r="D28" s="401"/>
      <c r="E28" s="403"/>
      <c r="F28" s="401"/>
      <c r="G28" s="403"/>
      <c r="H28" s="404"/>
    </row>
    <row r="29" spans="1:8" x14ac:dyDescent="0.25">
      <c r="A29" s="420"/>
      <c r="B29" s="393"/>
      <c r="C29" s="394"/>
      <c r="D29" s="395"/>
      <c r="E29" s="396"/>
      <c r="F29" s="395"/>
      <c r="G29" s="396"/>
      <c r="H29" s="397"/>
    </row>
    <row r="30" spans="1:8" ht="13.8" thickBot="1" x14ac:dyDescent="0.3">
      <c r="A30" s="398"/>
      <c r="B30" s="399"/>
      <c r="C30" s="400"/>
      <c r="D30" s="401"/>
      <c r="E30" s="403"/>
      <c r="F30" s="401"/>
      <c r="G30" s="403"/>
      <c r="H30" s="404"/>
    </row>
    <row r="31" spans="1:8" x14ac:dyDescent="0.25">
      <c r="A31" s="420"/>
      <c r="B31" s="393"/>
      <c r="C31" s="394"/>
      <c r="D31" s="395"/>
      <c r="E31" s="396"/>
      <c r="F31" s="395"/>
      <c r="G31" s="396"/>
      <c r="H31" s="397"/>
    </row>
    <row r="32" spans="1:8" ht="13.8" thickBot="1" x14ac:dyDescent="0.3">
      <c r="A32" s="398"/>
      <c r="B32" s="399"/>
      <c r="C32" s="421" t="s">
        <v>980</v>
      </c>
      <c r="D32" s="401"/>
      <c r="E32" s="403"/>
      <c r="F32" s="401"/>
      <c r="G32" s="403"/>
      <c r="H32" s="40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5">
    <tabColor theme="1"/>
  </sheetPr>
  <dimension ref="B1:M43"/>
  <sheetViews>
    <sheetView view="pageBreakPreview" topLeftCell="A16" zoomScaleNormal="100" workbookViewId="0">
      <selection activeCell="D32" sqref="D3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610</v>
      </c>
      <c r="C7" s="91"/>
      <c r="D7" s="296" t="s">
        <v>18</v>
      </c>
      <c r="E7" s="92"/>
      <c r="F7" s="92"/>
      <c r="G7" s="13"/>
      <c r="H7" s="13"/>
      <c r="I7" s="13"/>
      <c r="J7" s="14"/>
      <c r="K7" s="14"/>
    </row>
    <row r="8" spans="2:13" s="80" customFormat="1" ht="12" customHeight="1" x14ac:dyDescent="0.25">
      <c r="B8" s="285">
        <v>6.1</v>
      </c>
      <c r="C8" s="130"/>
      <c r="D8" s="285" t="s">
        <v>98</v>
      </c>
      <c r="E8" s="297"/>
      <c r="F8" s="342"/>
      <c r="G8" s="152"/>
      <c r="H8" s="73"/>
      <c r="I8" s="74"/>
      <c r="J8" s="74"/>
      <c r="K8" s="74"/>
    </row>
    <row r="9" spans="2:13" s="80" customFormat="1" ht="12" customHeight="1" x14ac:dyDescent="0.25">
      <c r="B9" s="299" t="s">
        <v>19</v>
      </c>
      <c r="C9" s="347"/>
      <c r="D9" s="288" t="s">
        <v>99</v>
      </c>
      <c r="E9" s="153" t="s">
        <v>204</v>
      </c>
      <c r="F9" s="343">
        <v>60</v>
      </c>
      <c r="G9" s="153" t="s">
        <v>80</v>
      </c>
      <c r="H9" s="129"/>
      <c r="I9" s="76"/>
      <c r="J9" s="76"/>
      <c r="K9" s="76"/>
    </row>
    <row r="10" spans="2:13" s="81" customFormat="1" ht="12" customHeight="1" x14ac:dyDescent="0.25">
      <c r="B10" s="285">
        <v>6.2</v>
      </c>
      <c r="C10" s="130"/>
      <c r="D10" s="285" t="s">
        <v>100</v>
      </c>
      <c r="E10" s="297"/>
      <c r="F10" s="344"/>
      <c r="G10" s="152"/>
      <c r="H10" s="291"/>
      <c r="I10" s="74"/>
      <c r="J10" s="74"/>
      <c r="K10" s="74"/>
    </row>
    <row r="11" spans="2:13" s="82" customFormat="1" ht="12" customHeight="1" x14ac:dyDescent="0.25">
      <c r="B11" s="288" t="s">
        <v>20</v>
      </c>
      <c r="C11" s="347"/>
      <c r="D11" s="288" t="s">
        <v>101</v>
      </c>
      <c r="E11" s="153" t="s">
        <v>204</v>
      </c>
      <c r="F11" s="290">
        <v>1624</v>
      </c>
      <c r="G11" s="153" t="s">
        <v>80</v>
      </c>
      <c r="H11" s="290"/>
      <c r="I11" s="76"/>
      <c r="J11" s="76"/>
      <c r="K11" s="76"/>
    </row>
    <row r="12" spans="2:13" s="81" customFormat="1" ht="12" customHeight="1" x14ac:dyDescent="0.25">
      <c r="B12" s="289">
        <v>6.3</v>
      </c>
      <c r="C12" s="348"/>
      <c r="D12" s="285" t="s">
        <v>102</v>
      </c>
      <c r="E12" s="297"/>
      <c r="F12" s="291"/>
      <c r="G12" s="152"/>
      <c r="H12" s="291"/>
      <c r="I12" s="88"/>
      <c r="J12" s="88"/>
      <c r="K12" s="88"/>
    </row>
    <row r="13" spans="2:13" s="82" customFormat="1" ht="12" customHeight="1" x14ac:dyDescent="0.25">
      <c r="B13" s="316" t="s">
        <v>21</v>
      </c>
      <c r="C13" s="347"/>
      <c r="D13" s="288" t="s">
        <v>103</v>
      </c>
      <c r="E13" s="153" t="s">
        <v>204</v>
      </c>
      <c r="F13" s="290">
        <v>96</v>
      </c>
      <c r="G13" s="153" t="s">
        <v>80</v>
      </c>
      <c r="H13" s="129"/>
      <c r="I13" s="76"/>
      <c r="J13" s="76"/>
      <c r="K13" s="76"/>
    </row>
    <row r="14" spans="2:13" s="77" customFormat="1" ht="12" customHeight="1" x14ac:dyDescent="0.25">
      <c r="B14" s="289">
        <v>6.4</v>
      </c>
      <c r="C14" s="348"/>
      <c r="D14" s="285" t="s">
        <v>104</v>
      </c>
      <c r="E14" s="297"/>
      <c r="F14" s="291"/>
      <c r="G14" s="152"/>
      <c r="H14" s="291"/>
      <c r="I14" s="74"/>
      <c r="J14" s="74"/>
      <c r="K14" s="74"/>
    </row>
    <row r="15" spans="2:13" s="77" customFormat="1" ht="12" customHeight="1" x14ac:dyDescent="0.25">
      <c r="B15" s="288" t="s">
        <v>22</v>
      </c>
      <c r="C15" s="347"/>
      <c r="D15" s="288" t="s">
        <v>101</v>
      </c>
      <c r="E15" s="153" t="s">
        <v>204</v>
      </c>
      <c r="F15" s="290">
        <v>44</v>
      </c>
      <c r="G15" s="153" t="s">
        <v>80</v>
      </c>
      <c r="H15" s="290"/>
      <c r="I15" s="76"/>
      <c r="J15" s="76"/>
      <c r="K15" s="76"/>
    </row>
    <row r="16" spans="2:13" s="77" customFormat="1" ht="12" customHeight="1" x14ac:dyDescent="0.25">
      <c r="B16" s="289">
        <v>6.5</v>
      </c>
      <c r="C16" s="348"/>
      <c r="D16" s="285" t="s">
        <v>105</v>
      </c>
      <c r="E16" s="152"/>
      <c r="F16" s="291"/>
      <c r="G16" s="152"/>
      <c r="H16" s="291"/>
      <c r="I16" s="74"/>
      <c r="J16" s="74"/>
      <c r="K16" s="74"/>
    </row>
    <row r="17" spans="2:11" s="77" customFormat="1" ht="12" customHeight="1" x14ac:dyDescent="0.25">
      <c r="B17" s="288" t="s">
        <v>23</v>
      </c>
      <c r="C17" s="348"/>
      <c r="D17" s="299" t="s">
        <v>101</v>
      </c>
      <c r="E17" s="300" t="s">
        <v>204</v>
      </c>
      <c r="F17" s="290">
        <v>44</v>
      </c>
      <c r="G17" s="153" t="s">
        <v>80</v>
      </c>
      <c r="H17" s="290"/>
      <c r="I17" s="76"/>
      <c r="J17" s="76"/>
      <c r="K17" s="76"/>
    </row>
    <row r="18" spans="2:11" s="77" customFormat="1" ht="12" customHeight="1" x14ac:dyDescent="0.25">
      <c r="B18" s="285">
        <v>6.6</v>
      </c>
      <c r="C18" s="131"/>
      <c r="D18" s="285" t="s">
        <v>106</v>
      </c>
      <c r="E18" s="152"/>
      <c r="F18" s="291"/>
      <c r="G18" s="152"/>
      <c r="H18" s="291"/>
      <c r="I18" s="74"/>
      <c r="J18" s="74"/>
      <c r="K18" s="74"/>
    </row>
    <row r="19" spans="2:11" s="77" customFormat="1" ht="12" customHeight="1" x14ac:dyDescent="0.25">
      <c r="B19" s="315" t="s">
        <v>24</v>
      </c>
      <c r="C19" s="349"/>
      <c r="D19" s="299" t="s">
        <v>94</v>
      </c>
      <c r="E19" s="300" t="s">
        <v>206</v>
      </c>
      <c r="F19" s="290">
        <v>808</v>
      </c>
      <c r="G19" s="153" t="s">
        <v>80</v>
      </c>
      <c r="H19" s="308"/>
      <c r="I19" s="76"/>
      <c r="J19" s="76"/>
      <c r="K19" s="76"/>
    </row>
    <row r="20" spans="2:11" s="77" customFormat="1" ht="12" customHeight="1" x14ac:dyDescent="0.25">
      <c r="B20" s="285">
        <v>6.7</v>
      </c>
      <c r="C20" s="130"/>
      <c r="D20" s="285" t="s">
        <v>107</v>
      </c>
      <c r="E20" s="152"/>
      <c r="F20" s="344"/>
      <c r="G20" s="152"/>
      <c r="H20" s="291"/>
      <c r="I20" s="74"/>
      <c r="J20" s="74"/>
      <c r="K20" s="74"/>
    </row>
    <row r="21" spans="2:11" s="77" customFormat="1" ht="12" customHeight="1" x14ac:dyDescent="0.25">
      <c r="B21" s="315" t="s">
        <v>25</v>
      </c>
      <c r="C21" s="347"/>
      <c r="D21" s="299" t="s">
        <v>78</v>
      </c>
      <c r="E21" s="300" t="s">
        <v>206</v>
      </c>
      <c r="F21" s="290">
        <v>670</v>
      </c>
      <c r="G21" s="153" t="s">
        <v>80</v>
      </c>
      <c r="H21" s="129"/>
      <c r="I21" s="76"/>
      <c r="J21" s="76"/>
      <c r="K21" s="76"/>
    </row>
    <row r="22" spans="2:11" s="77" customFormat="1" ht="12" customHeight="1" x14ac:dyDescent="0.25">
      <c r="B22" s="285">
        <v>6.8</v>
      </c>
      <c r="C22" s="131"/>
      <c r="D22" s="285" t="s">
        <v>108</v>
      </c>
      <c r="E22" s="152"/>
      <c r="F22" s="344"/>
      <c r="G22" s="152"/>
      <c r="H22" s="152"/>
      <c r="I22" s="74"/>
      <c r="J22" s="74"/>
      <c r="K22" s="74"/>
    </row>
    <row r="23" spans="2:11" s="77" customFormat="1" ht="12" customHeight="1" x14ac:dyDescent="0.25">
      <c r="B23" s="316" t="s">
        <v>26</v>
      </c>
      <c r="C23" s="349"/>
      <c r="D23" s="299" t="s">
        <v>94</v>
      </c>
      <c r="E23" s="300" t="s">
        <v>206</v>
      </c>
      <c r="F23" s="290">
        <v>25</v>
      </c>
      <c r="G23" s="153" t="str">
        <f>$G$25</f>
        <v>n/a</v>
      </c>
      <c r="H23" s="290"/>
      <c r="I23" s="76"/>
      <c r="J23" s="76"/>
      <c r="K23" s="76"/>
    </row>
    <row r="24" spans="2:11" s="83" customFormat="1" ht="12" customHeight="1" x14ac:dyDescent="0.25">
      <c r="B24" s="289">
        <v>6.9</v>
      </c>
      <c r="C24" s="130"/>
      <c r="D24" s="285" t="s">
        <v>109</v>
      </c>
      <c r="E24" s="152"/>
      <c r="F24" s="291"/>
      <c r="G24" s="152"/>
      <c r="H24" s="152"/>
      <c r="I24" s="74"/>
      <c r="J24" s="74"/>
      <c r="K24" s="74"/>
    </row>
    <row r="25" spans="2:11" s="84" customFormat="1" ht="12" customHeight="1" x14ac:dyDescent="0.25">
      <c r="B25" s="288" t="s">
        <v>27</v>
      </c>
      <c r="C25" s="347"/>
      <c r="D25" s="299" t="s">
        <v>94</v>
      </c>
      <c r="E25" s="300" t="s">
        <v>206</v>
      </c>
      <c r="F25" s="290">
        <v>10</v>
      </c>
      <c r="G25" s="153" t="s">
        <v>80</v>
      </c>
      <c r="H25" s="129"/>
      <c r="I25" s="76"/>
      <c r="J25" s="76"/>
      <c r="K25" s="76"/>
    </row>
    <row r="26" spans="2:11" s="83" customFormat="1" ht="12" customHeight="1" x14ac:dyDescent="0.25">
      <c r="B26" s="289" t="s">
        <v>654</v>
      </c>
      <c r="C26" s="131"/>
      <c r="D26" s="285" t="s">
        <v>110</v>
      </c>
      <c r="E26" s="297"/>
      <c r="F26" s="291"/>
      <c r="G26" s="152"/>
      <c r="H26" s="152"/>
      <c r="I26" s="74"/>
      <c r="J26" s="74"/>
      <c r="K26" s="74"/>
    </row>
    <row r="27" spans="2:11" s="84" customFormat="1" ht="12" customHeight="1" x14ac:dyDescent="0.25">
      <c r="B27" s="288" t="s">
        <v>28</v>
      </c>
      <c r="C27" s="349"/>
      <c r="D27" s="288" t="s">
        <v>94</v>
      </c>
      <c r="E27" s="153" t="s">
        <v>206</v>
      </c>
      <c r="F27" s="290">
        <v>12</v>
      </c>
      <c r="G27" s="153" t="s">
        <v>80</v>
      </c>
      <c r="H27" s="129"/>
      <c r="I27" s="76"/>
      <c r="J27" s="76"/>
      <c r="K27" s="76"/>
    </row>
    <row r="28" spans="2:11" s="77" customFormat="1" ht="12" customHeight="1" x14ac:dyDescent="0.25">
      <c r="B28" s="289">
        <v>6.11</v>
      </c>
      <c r="C28" s="350"/>
      <c r="D28" s="285" t="s">
        <v>111</v>
      </c>
      <c r="E28" s="297"/>
      <c r="F28" s="291"/>
      <c r="G28" s="152"/>
      <c r="H28" s="152"/>
      <c r="I28" s="74"/>
      <c r="J28" s="74"/>
      <c r="K28" s="74"/>
    </row>
    <row r="29" spans="2:11" s="77" customFormat="1" ht="12" customHeight="1" x14ac:dyDescent="0.25">
      <c r="B29" s="288" t="s">
        <v>29</v>
      </c>
      <c r="C29" s="351"/>
      <c r="D29" s="288" t="s">
        <v>91</v>
      </c>
      <c r="E29" s="153" t="s">
        <v>206</v>
      </c>
      <c r="F29" s="290">
        <v>0</v>
      </c>
      <c r="G29" s="153" t="s">
        <v>80</v>
      </c>
      <c r="H29" s="290"/>
      <c r="I29" s="76"/>
      <c r="J29" s="76"/>
      <c r="K29" s="76"/>
    </row>
    <row r="30" spans="2:11" s="77" customFormat="1" ht="12" customHeight="1" x14ac:dyDescent="0.25">
      <c r="B30" s="289">
        <v>6.12</v>
      </c>
      <c r="C30" s="131"/>
      <c r="D30" s="285" t="s">
        <v>112</v>
      </c>
      <c r="E30" s="297"/>
      <c r="F30" s="344"/>
      <c r="G30" s="152"/>
      <c r="H30" s="152"/>
      <c r="I30" s="74"/>
      <c r="J30" s="74"/>
      <c r="K30" s="74"/>
    </row>
    <row r="31" spans="2:11" s="77" customFormat="1" ht="12" customHeight="1" x14ac:dyDescent="0.25">
      <c r="B31" s="288" t="s">
        <v>30</v>
      </c>
      <c r="C31" s="349"/>
      <c r="D31" s="288" t="s">
        <v>113</v>
      </c>
      <c r="E31" s="153" t="s">
        <v>206</v>
      </c>
      <c r="F31" s="290">
        <v>47</v>
      </c>
      <c r="G31" s="153" t="s">
        <v>80</v>
      </c>
      <c r="H31" s="129"/>
      <c r="I31" s="76"/>
      <c r="J31" s="76"/>
      <c r="K31" s="76"/>
    </row>
    <row r="32" spans="2:11" s="77" customFormat="1" ht="12" customHeight="1" x14ac:dyDescent="0.25">
      <c r="B32" s="289">
        <v>6.13</v>
      </c>
      <c r="C32" s="131"/>
      <c r="D32" s="285" t="s">
        <v>114</v>
      </c>
      <c r="E32" s="297"/>
      <c r="F32" s="344"/>
      <c r="G32" s="152"/>
      <c r="H32" s="152"/>
      <c r="I32" s="88"/>
      <c r="J32" s="88"/>
      <c r="K32" s="88"/>
    </row>
    <row r="33" spans="2:11" s="77" customFormat="1" ht="12" customHeight="1" x14ac:dyDescent="0.25">
      <c r="B33" s="288" t="s">
        <v>638</v>
      </c>
      <c r="C33" s="349"/>
      <c r="D33" s="288" t="s">
        <v>115</v>
      </c>
      <c r="E33" s="153" t="s">
        <v>206</v>
      </c>
      <c r="F33" s="290">
        <v>7</v>
      </c>
      <c r="G33" s="153" t="s">
        <v>80</v>
      </c>
      <c r="H33" s="153"/>
      <c r="I33" s="76"/>
      <c r="J33" s="76"/>
      <c r="K33" s="76"/>
    </row>
    <row r="34" spans="2:11" s="83" customFormat="1" ht="12" customHeight="1" x14ac:dyDescent="0.25">
      <c r="B34" s="289">
        <v>6.14</v>
      </c>
      <c r="C34" s="131"/>
      <c r="D34" s="285" t="s">
        <v>116</v>
      </c>
      <c r="E34" s="152"/>
      <c r="F34" s="344"/>
      <c r="G34" s="152"/>
      <c r="H34" s="152"/>
      <c r="I34" s="74"/>
      <c r="J34" s="74"/>
      <c r="K34" s="74"/>
    </row>
    <row r="35" spans="2:11" s="85" customFormat="1" ht="12" customHeight="1" x14ac:dyDescent="0.25">
      <c r="B35" s="288" t="s">
        <v>639</v>
      </c>
      <c r="C35" s="349"/>
      <c r="D35" s="299" t="s">
        <v>117</v>
      </c>
      <c r="E35" s="300" t="s">
        <v>206</v>
      </c>
      <c r="F35" s="290">
        <v>220</v>
      </c>
      <c r="G35" s="153" t="s">
        <v>80</v>
      </c>
      <c r="H35" s="129"/>
      <c r="I35" s="76"/>
      <c r="J35" s="76"/>
      <c r="K35" s="76"/>
    </row>
    <row r="36" spans="2:11" s="85" customFormat="1" ht="12" customHeight="1" x14ac:dyDescent="0.25">
      <c r="B36" s="285">
        <v>6.15</v>
      </c>
      <c r="C36" s="131"/>
      <c r="D36" s="285" t="s">
        <v>118</v>
      </c>
      <c r="E36" s="297"/>
      <c r="F36" s="344"/>
      <c r="G36" s="152"/>
      <c r="H36" s="73"/>
      <c r="I36" s="74"/>
      <c r="J36" s="74"/>
      <c r="K36" s="74"/>
    </row>
    <row r="37" spans="2:11" s="85" customFormat="1" ht="12" customHeight="1" x14ac:dyDescent="0.25">
      <c r="B37" s="288" t="s">
        <v>640</v>
      </c>
      <c r="C37" s="349"/>
      <c r="D37" s="288" t="s">
        <v>117</v>
      </c>
      <c r="E37" s="153" t="s">
        <v>206</v>
      </c>
      <c r="F37" s="290">
        <v>50</v>
      </c>
      <c r="G37" s="153" t="s">
        <v>80</v>
      </c>
      <c r="H37" s="75"/>
      <c r="I37" s="76"/>
      <c r="J37" s="76"/>
      <c r="K37" s="76"/>
    </row>
    <row r="38" spans="2:11" s="77" customFormat="1" ht="12" customHeight="1" x14ac:dyDescent="0.25">
      <c r="B38" s="289">
        <v>6.16</v>
      </c>
      <c r="C38" s="338"/>
      <c r="D38" s="285" t="s">
        <v>622</v>
      </c>
      <c r="E38" s="297"/>
      <c r="F38" s="344"/>
      <c r="G38" s="152"/>
      <c r="H38" s="73"/>
      <c r="I38" s="74"/>
      <c r="J38" s="74"/>
      <c r="K38" s="74"/>
    </row>
    <row r="39" spans="2:11" s="77" customFormat="1" ht="12" customHeight="1" x14ac:dyDescent="0.25">
      <c r="B39" s="288" t="s">
        <v>655</v>
      </c>
      <c r="C39" s="352"/>
      <c r="D39" s="288" t="s">
        <v>623</v>
      </c>
      <c r="E39" s="153" t="s">
        <v>206</v>
      </c>
      <c r="F39" s="290"/>
      <c r="G39" s="153" t="s">
        <v>80</v>
      </c>
      <c r="H39" s="75"/>
      <c r="I39" s="76"/>
      <c r="J39" s="76"/>
      <c r="K39" s="76"/>
    </row>
    <row r="40" spans="2:11" s="84" customFormat="1" ht="12" customHeight="1" x14ac:dyDescent="0.25">
      <c r="B40" s="289">
        <v>6.17</v>
      </c>
      <c r="C40" s="338"/>
      <c r="D40" s="285" t="s">
        <v>624</v>
      </c>
      <c r="E40" s="297"/>
      <c r="F40" s="344"/>
      <c r="G40" s="152"/>
      <c r="H40" s="73"/>
      <c r="I40" s="74"/>
      <c r="J40" s="74"/>
      <c r="K40" s="74"/>
    </row>
    <row r="41" spans="2:11" s="84" customFormat="1" ht="12" customHeight="1" x14ac:dyDescent="0.25">
      <c r="B41" s="288" t="s">
        <v>656</v>
      </c>
      <c r="C41" s="352"/>
      <c r="D41" s="288" t="s">
        <v>623</v>
      </c>
      <c r="E41" s="153" t="s">
        <v>206</v>
      </c>
      <c r="F41" s="290"/>
      <c r="G41" s="153" t="s">
        <v>80</v>
      </c>
      <c r="H41" s="75"/>
      <c r="I41" s="76"/>
      <c r="J41" s="76"/>
      <c r="K41" s="76"/>
    </row>
    <row r="42" spans="2:11" s="84" customFormat="1" ht="12" customHeight="1" x14ac:dyDescent="0.25"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2:11" s="84" customFormat="1" ht="12" customHeight="1" x14ac:dyDescent="0.25">
      <c r="B43" s="148"/>
      <c r="C43" s="102"/>
      <c r="D43" s="359" t="s">
        <v>184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>
    <tabColor theme="1"/>
  </sheetPr>
  <dimension ref="B1:M43"/>
  <sheetViews>
    <sheetView view="pageBreakPreview" topLeftCell="A16" zoomScaleNormal="100" workbookViewId="0">
      <selection activeCell="F15" sqref="F15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610</v>
      </c>
      <c r="C7" s="91"/>
      <c r="D7" s="296" t="s">
        <v>627</v>
      </c>
      <c r="E7" s="92"/>
      <c r="F7" s="92"/>
      <c r="G7" s="13"/>
      <c r="H7" s="13"/>
      <c r="I7" s="13"/>
      <c r="J7" s="14"/>
      <c r="K7" s="14"/>
    </row>
    <row r="8" spans="2:13" s="80" customFormat="1" ht="12" customHeight="1" x14ac:dyDescent="0.25">
      <c r="B8" s="285">
        <v>6.18</v>
      </c>
      <c r="C8" s="286"/>
      <c r="D8" s="285" t="s">
        <v>119</v>
      </c>
      <c r="E8" s="297"/>
      <c r="F8" s="291"/>
      <c r="G8" s="152"/>
      <c r="H8" s="73"/>
      <c r="I8" s="74"/>
      <c r="J8" s="74"/>
      <c r="K8" s="74"/>
    </row>
    <row r="9" spans="2:13" s="80" customFormat="1" ht="12" customHeight="1" x14ac:dyDescent="0.25">
      <c r="B9" s="299" t="s">
        <v>657</v>
      </c>
      <c r="C9" s="301"/>
      <c r="D9" s="288" t="s">
        <v>115</v>
      </c>
      <c r="E9" s="153" t="s">
        <v>206</v>
      </c>
      <c r="F9" s="290">
        <v>2</v>
      </c>
      <c r="G9" s="153" t="s">
        <v>80</v>
      </c>
      <c r="H9" s="129"/>
      <c r="I9" s="76"/>
      <c r="J9" s="76"/>
      <c r="K9" s="76"/>
    </row>
    <row r="10" spans="2:13" s="81" customFormat="1" ht="12" customHeight="1" x14ac:dyDescent="0.25">
      <c r="B10" s="285">
        <v>6.19</v>
      </c>
      <c r="C10" s="286"/>
      <c r="D10" s="285" t="s">
        <v>124</v>
      </c>
      <c r="E10" s="297"/>
      <c r="F10" s="344"/>
      <c r="G10" s="152"/>
      <c r="H10" s="291"/>
      <c r="I10" s="74"/>
      <c r="J10" s="74"/>
      <c r="K10" s="74"/>
    </row>
    <row r="11" spans="2:13" s="82" customFormat="1" ht="12" customHeight="1" x14ac:dyDescent="0.25">
      <c r="B11" s="288" t="s">
        <v>658</v>
      </c>
      <c r="C11" s="301"/>
      <c r="D11" s="288" t="s">
        <v>115</v>
      </c>
      <c r="E11" s="153" t="s">
        <v>206</v>
      </c>
      <c r="F11" s="290">
        <v>2</v>
      </c>
      <c r="G11" s="153" t="s">
        <v>80</v>
      </c>
      <c r="H11" s="290"/>
      <c r="I11" s="76"/>
      <c r="J11" s="76"/>
      <c r="K11" s="76"/>
    </row>
    <row r="12" spans="2:13" s="81" customFormat="1" ht="12" customHeight="1" x14ac:dyDescent="0.25">
      <c r="B12" s="289" t="s">
        <v>659</v>
      </c>
      <c r="C12" s="339"/>
      <c r="D12" s="285" t="s">
        <v>125</v>
      </c>
      <c r="E12" s="297"/>
      <c r="F12" s="344"/>
      <c r="G12" s="152"/>
      <c r="H12" s="291"/>
      <c r="I12" s="88"/>
      <c r="J12" s="88"/>
      <c r="K12" s="88"/>
    </row>
    <row r="13" spans="2:13" s="82" customFormat="1" ht="12" customHeight="1" x14ac:dyDescent="0.25">
      <c r="B13" s="316" t="s">
        <v>660</v>
      </c>
      <c r="C13" s="301"/>
      <c r="D13" s="288" t="s">
        <v>115</v>
      </c>
      <c r="E13" s="153" t="s">
        <v>206</v>
      </c>
      <c r="F13" s="290">
        <v>0</v>
      </c>
      <c r="G13" s="153" t="s">
        <v>80</v>
      </c>
      <c r="H13" s="129"/>
      <c r="I13" s="76"/>
      <c r="J13" s="76"/>
      <c r="K13" s="76"/>
    </row>
    <row r="14" spans="2:13" s="77" customFormat="1" ht="12" customHeight="1" x14ac:dyDescent="0.25">
      <c r="B14" s="289" t="s">
        <v>661</v>
      </c>
      <c r="C14" s="339"/>
      <c r="D14" s="285" t="s">
        <v>126</v>
      </c>
      <c r="E14" s="297"/>
      <c r="F14" s="344"/>
      <c r="G14" s="152"/>
      <c r="H14" s="291"/>
      <c r="I14" s="74"/>
      <c r="J14" s="74"/>
      <c r="K14" s="74"/>
    </row>
    <row r="15" spans="2:13" s="77" customFormat="1" ht="12" customHeight="1" x14ac:dyDescent="0.25">
      <c r="B15" s="288" t="s">
        <v>662</v>
      </c>
      <c r="C15" s="301"/>
      <c r="D15" s="288" t="s">
        <v>115</v>
      </c>
      <c r="E15" s="153" t="s">
        <v>206</v>
      </c>
      <c r="F15" s="290">
        <v>0</v>
      </c>
      <c r="G15" s="153" t="s">
        <v>80</v>
      </c>
      <c r="H15" s="290"/>
      <c r="I15" s="76"/>
      <c r="J15" s="76"/>
      <c r="K15" s="76"/>
    </row>
    <row r="16" spans="2:13" s="77" customFormat="1" ht="12" customHeight="1" x14ac:dyDescent="0.25">
      <c r="B16" s="289" t="s">
        <v>663</v>
      </c>
      <c r="C16" s="339"/>
      <c r="D16" s="285" t="s">
        <v>127</v>
      </c>
      <c r="E16" s="297"/>
      <c r="F16" s="291"/>
      <c r="G16" s="152"/>
      <c r="H16" s="291"/>
      <c r="I16" s="74"/>
      <c r="J16" s="74"/>
      <c r="K16" s="74"/>
    </row>
    <row r="17" spans="2:11" s="77" customFormat="1" ht="12" customHeight="1" x14ac:dyDescent="0.25">
      <c r="B17" s="288" t="s">
        <v>664</v>
      </c>
      <c r="C17" s="339"/>
      <c r="D17" s="288" t="s">
        <v>115</v>
      </c>
      <c r="E17" s="153" t="s">
        <v>206</v>
      </c>
      <c r="F17" s="290"/>
      <c r="G17" s="153" t="s">
        <v>80</v>
      </c>
      <c r="H17" s="290"/>
      <c r="I17" s="76"/>
      <c r="J17" s="76"/>
      <c r="K17" s="76"/>
    </row>
    <row r="18" spans="2:11" s="77" customFormat="1" ht="12" customHeight="1" x14ac:dyDescent="0.25">
      <c r="B18" s="289" t="s">
        <v>665</v>
      </c>
      <c r="C18" s="333"/>
      <c r="D18" s="285" t="s">
        <v>128</v>
      </c>
      <c r="E18" s="297"/>
      <c r="F18" s="344"/>
      <c r="G18" s="152"/>
      <c r="H18" s="291"/>
      <c r="I18" s="74"/>
      <c r="J18" s="74"/>
      <c r="K18" s="74"/>
    </row>
    <row r="19" spans="2:11" s="77" customFormat="1" ht="12" customHeight="1" x14ac:dyDescent="0.25">
      <c r="B19" s="315" t="s">
        <v>666</v>
      </c>
      <c r="C19" s="298"/>
      <c r="D19" s="288" t="s">
        <v>115</v>
      </c>
      <c r="E19" s="153" t="s">
        <v>206</v>
      </c>
      <c r="F19" s="290">
        <v>0</v>
      </c>
      <c r="G19" s="153" t="s">
        <v>80</v>
      </c>
      <c r="H19" s="308"/>
      <c r="I19" s="76"/>
      <c r="J19" s="76"/>
      <c r="K19" s="76"/>
    </row>
    <row r="20" spans="2:11" s="77" customFormat="1" ht="12" customHeight="1" x14ac:dyDescent="0.25">
      <c r="B20" s="289" t="s">
        <v>667</v>
      </c>
      <c r="C20" s="286"/>
      <c r="D20" s="285" t="s">
        <v>129</v>
      </c>
      <c r="E20" s="297"/>
      <c r="F20" s="291"/>
      <c r="G20" s="152"/>
      <c r="H20" s="291"/>
      <c r="I20" s="74"/>
      <c r="J20" s="74"/>
      <c r="K20" s="74"/>
    </row>
    <row r="21" spans="2:11" s="77" customFormat="1" ht="12" customHeight="1" x14ac:dyDescent="0.25">
      <c r="B21" s="315" t="s">
        <v>668</v>
      </c>
      <c r="C21" s="301"/>
      <c r="D21" s="288" t="s">
        <v>115</v>
      </c>
      <c r="E21" s="153" t="s">
        <v>206</v>
      </c>
      <c r="F21" s="290">
        <v>0</v>
      </c>
      <c r="G21" s="153" t="s">
        <v>80</v>
      </c>
      <c r="H21" s="129"/>
      <c r="I21" s="76"/>
      <c r="J21" s="76"/>
      <c r="K21" s="76"/>
    </row>
    <row r="22" spans="2:11" s="77" customFormat="1" ht="12" customHeight="1" x14ac:dyDescent="0.25">
      <c r="B22" s="289" t="s">
        <v>685</v>
      </c>
      <c r="C22" s="333"/>
      <c r="D22" s="285" t="s">
        <v>130</v>
      </c>
      <c r="E22" s="297"/>
      <c r="F22" s="291"/>
      <c r="G22" s="152"/>
      <c r="H22" s="152"/>
      <c r="I22" s="74"/>
      <c r="J22" s="74"/>
      <c r="K22" s="74"/>
    </row>
    <row r="23" spans="2:11" s="77" customFormat="1" ht="12" customHeight="1" x14ac:dyDescent="0.25">
      <c r="B23" s="316" t="s">
        <v>686</v>
      </c>
      <c r="C23" s="298"/>
      <c r="D23" s="288" t="s">
        <v>115</v>
      </c>
      <c r="E23" s="153" t="s">
        <v>206</v>
      </c>
      <c r="F23" s="290">
        <v>0</v>
      </c>
      <c r="G23" s="153" t="s">
        <v>80</v>
      </c>
      <c r="H23" s="290"/>
      <c r="I23" s="76"/>
      <c r="J23" s="76"/>
      <c r="K23" s="76"/>
    </row>
    <row r="24" spans="2:11" s="83" customFormat="1" ht="12" customHeight="1" x14ac:dyDescent="0.25">
      <c r="B24" s="289" t="s">
        <v>669</v>
      </c>
      <c r="C24" s="286"/>
      <c r="D24" s="285" t="s">
        <v>120</v>
      </c>
      <c r="E24" s="297"/>
      <c r="F24" s="344"/>
      <c r="G24" s="152"/>
      <c r="H24" s="152"/>
      <c r="I24" s="74"/>
      <c r="J24" s="74"/>
      <c r="K24" s="74"/>
    </row>
    <row r="25" spans="2:11" s="84" customFormat="1" ht="12" customHeight="1" x14ac:dyDescent="0.25">
      <c r="B25" s="288" t="s">
        <v>670</v>
      </c>
      <c r="C25" s="301"/>
      <c r="D25" s="288" t="s">
        <v>115</v>
      </c>
      <c r="E25" s="153" t="s">
        <v>206</v>
      </c>
      <c r="F25" s="290">
        <v>0</v>
      </c>
      <c r="G25" s="153" t="s">
        <v>80</v>
      </c>
      <c r="H25" s="129"/>
      <c r="I25" s="76"/>
      <c r="J25" s="76"/>
      <c r="K25" s="76"/>
    </row>
    <row r="26" spans="2:11" s="83" customFormat="1" ht="12" customHeight="1" x14ac:dyDescent="0.25">
      <c r="B26" s="289" t="s">
        <v>671</v>
      </c>
      <c r="C26" s="333"/>
      <c r="D26" s="285" t="s">
        <v>121</v>
      </c>
      <c r="E26" s="297"/>
      <c r="F26" s="344"/>
      <c r="G26" s="152"/>
      <c r="H26" s="152"/>
      <c r="I26" s="74"/>
      <c r="J26" s="74"/>
      <c r="K26" s="74"/>
    </row>
    <row r="27" spans="2:11" s="84" customFormat="1" ht="12" customHeight="1" x14ac:dyDescent="0.25">
      <c r="B27" s="288" t="s">
        <v>672</v>
      </c>
      <c r="C27" s="298"/>
      <c r="D27" s="288" t="s">
        <v>115</v>
      </c>
      <c r="E27" s="153" t="s">
        <v>206</v>
      </c>
      <c r="F27" s="290">
        <v>0</v>
      </c>
      <c r="G27" s="153" t="s">
        <v>80</v>
      </c>
      <c r="H27" s="129"/>
      <c r="I27" s="76"/>
      <c r="J27" s="76"/>
      <c r="K27" s="76"/>
    </row>
    <row r="28" spans="2:11" s="77" customFormat="1" ht="12" customHeight="1" x14ac:dyDescent="0.25">
      <c r="B28" s="289">
        <v>6.28</v>
      </c>
      <c r="C28" s="334"/>
      <c r="D28" s="285" t="s">
        <v>137</v>
      </c>
      <c r="E28" s="297"/>
      <c r="F28" s="344"/>
      <c r="G28" s="152"/>
      <c r="H28" s="152"/>
      <c r="I28" s="74"/>
      <c r="J28" s="74"/>
      <c r="K28" s="74"/>
    </row>
    <row r="29" spans="2:11" s="77" customFormat="1" ht="12" customHeight="1" x14ac:dyDescent="0.25">
      <c r="B29" s="288" t="s">
        <v>673</v>
      </c>
      <c r="C29" s="335"/>
      <c r="D29" s="288" t="s">
        <v>115</v>
      </c>
      <c r="E29" s="153" t="s">
        <v>206</v>
      </c>
      <c r="F29" s="290">
        <v>0</v>
      </c>
      <c r="G29" s="153" t="s">
        <v>80</v>
      </c>
      <c r="H29" s="290"/>
      <c r="I29" s="76"/>
      <c r="J29" s="76"/>
      <c r="K29" s="76"/>
    </row>
    <row r="30" spans="2:11" s="77" customFormat="1" ht="12" customHeight="1" x14ac:dyDescent="0.25">
      <c r="B30" s="289" t="s">
        <v>674</v>
      </c>
      <c r="C30" s="333"/>
      <c r="D30" s="285" t="s">
        <v>131</v>
      </c>
      <c r="E30" s="152"/>
      <c r="F30" s="344"/>
      <c r="G30" s="152"/>
      <c r="H30" s="152"/>
      <c r="I30" s="74"/>
      <c r="J30" s="74"/>
      <c r="K30" s="74"/>
    </row>
    <row r="31" spans="2:11" s="77" customFormat="1" ht="12" customHeight="1" x14ac:dyDescent="0.25">
      <c r="B31" s="288" t="s">
        <v>675</v>
      </c>
      <c r="C31" s="298"/>
      <c r="D31" s="288" t="s">
        <v>115</v>
      </c>
      <c r="E31" s="153" t="s">
        <v>206</v>
      </c>
      <c r="F31" s="290">
        <v>0</v>
      </c>
      <c r="G31" s="153" t="s">
        <v>80</v>
      </c>
      <c r="H31" s="129"/>
      <c r="I31" s="76"/>
      <c r="J31" s="76"/>
      <c r="K31" s="76"/>
    </row>
    <row r="32" spans="2:11" s="77" customFormat="1" ht="12" customHeight="1" x14ac:dyDescent="0.25">
      <c r="B32" s="289" t="s">
        <v>676</v>
      </c>
      <c r="C32" s="333"/>
      <c r="D32" s="285" t="s">
        <v>123</v>
      </c>
      <c r="E32" s="297"/>
      <c r="F32" s="344"/>
      <c r="G32" s="152"/>
      <c r="H32" s="152"/>
      <c r="I32" s="88"/>
      <c r="J32" s="88"/>
      <c r="K32" s="88"/>
    </row>
    <row r="33" spans="2:11" s="77" customFormat="1" ht="12" customHeight="1" x14ac:dyDescent="0.25">
      <c r="B33" s="288" t="s">
        <v>677</v>
      </c>
      <c r="C33" s="298"/>
      <c r="D33" s="288" t="s">
        <v>115</v>
      </c>
      <c r="E33" s="153" t="s">
        <v>206</v>
      </c>
      <c r="F33" s="290">
        <v>0</v>
      </c>
      <c r="G33" s="153" t="s">
        <v>80</v>
      </c>
      <c r="H33" s="153"/>
      <c r="I33" s="76"/>
      <c r="J33" s="76"/>
      <c r="K33" s="76"/>
    </row>
    <row r="34" spans="2:11" s="83" customFormat="1" ht="12" customHeight="1" x14ac:dyDescent="0.25">
      <c r="B34" s="289" t="s">
        <v>678</v>
      </c>
      <c r="C34" s="333"/>
      <c r="D34" s="285" t="s">
        <v>122</v>
      </c>
      <c r="E34" s="297"/>
      <c r="F34" s="344"/>
      <c r="G34" s="152"/>
      <c r="H34" s="152"/>
      <c r="I34" s="74"/>
      <c r="J34" s="74"/>
      <c r="K34" s="74"/>
    </row>
    <row r="35" spans="2:11" s="85" customFormat="1" ht="12" customHeight="1" x14ac:dyDescent="0.25">
      <c r="B35" s="288" t="s">
        <v>679</v>
      </c>
      <c r="C35" s="298"/>
      <c r="D35" s="288" t="s">
        <v>115</v>
      </c>
      <c r="E35" s="153" t="s">
        <v>206</v>
      </c>
      <c r="F35" s="290">
        <v>1</v>
      </c>
      <c r="G35" s="153" t="s">
        <v>80</v>
      </c>
      <c r="H35" s="129"/>
      <c r="I35" s="76"/>
      <c r="J35" s="76"/>
      <c r="K35" s="76"/>
    </row>
    <row r="36" spans="2:11" s="85" customFormat="1" ht="12" customHeight="1" x14ac:dyDescent="0.25">
      <c r="B36" s="285">
        <v>6.32</v>
      </c>
      <c r="C36" s="333"/>
      <c r="D36" s="285" t="s">
        <v>132</v>
      </c>
      <c r="E36" s="297"/>
      <c r="F36" s="344"/>
      <c r="G36" s="152"/>
      <c r="H36" s="73"/>
      <c r="I36" s="74"/>
      <c r="J36" s="74"/>
      <c r="K36" s="74"/>
    </row>
    <row r="37" spans="2:11" s="85" customFormat="1" ht="12" customHeight="1" x14ac:dyDescent="0.25">
      <c r="B37" s="288" t="s">
        <v>680</v>
      </c>
      <c r="C37" s="298"/>
      <c r="D37" s="288" t="s">
        <v>115</v>
      </c>
      <c r="E37" s="153" t="s">
        <v>206</v>
      </c>
      <c r="F37" s="290">
        <v>1</v>
      </c>
      <c r="G37" s="153" t="s">
        <v>80</v>
      </c>
      <c r="H37" s="75"/>
      <c r="I37" s="76"/>
      <c r="J37" s="76"/>
      <c r="K37" s="76"/>
    </row>
    <row r="38" spans="2:11" s="77" customFormat="1" ht="12" customHeight="1" x14ac:dyDescent="0.25">
      <c r="B38" s="289" t="s">
        <v>681</v>
      </c>
      <c r="C38" s="306"/>
      <c r="D38" s="285" t="s">
        <v>133</v>
      </c>
      <c r="E38" s="297"/>
      <c r="F38" s="344"/>
      <c r="G38" s="152"/>
      <c r="H38" s="73"/>
      <c r="I38" s="74"/>
      <c r="J38" s="74"/>
      <c r="K38" s="74"/>
    </row>
    <row r="39" spans="2:11" s="77" customFormat="1" ht="12" customHeight="1" x14ac:dyDescent="0.25">
      <c r="B39" s="288" t="s">
        <v>682</v>
      </c>
      <c r="C39" s="307"/>
      <c r="D39" s="288" t="s">
        <v>115</v>
      </c>
      <c r="E39" s="153" t="s">
        <v>206</v>
      </c>
      <c r="F39" s="290">
        <v>0</v>
      </c>
      <c r="G39" s="153"/>
      <c r="H39" s="75"/>
      <c r="I39" s="76"/>
      <c r="J39" s="76"/>
      <c r="K39" s="76"/>
    </row>
    <row r="40" spans="2:11" s="84" customFormat="1" ht="12" customHeight="1" x14ac:dyDescent="0.25">
      <c r="B40" s="289" t="s">
        <v>683</v>
      </c>
      <c r="C40" s="306"/>
      <c r="D40" s="285" t="s">
        <v>134</v>
      </c>
      <c r="E40" s="297"/>
      <c r="F40" s="344"/>
      <c r="G40" s="152"/>
      <c r="H40" s="73"/>
      <c r="I40" s="74"/>
      <c r="J40" s="74"/>
      <c r="K40" s="74"/>
    </row>
    <row r="41" spans="2:11" s="84" customFormat="1" ht="12" customHeight="1" x14ac:dyDescent="0.25">
      <c r="B41" s="288" t="s">
        <v>684</v>
      </c>
      <c r="C41" s="307"/>
      <c r="D41" s="288" t="s">
        <v>115</v>
      </c>
      <c r="E41" s="153" t="s">
        <v>206</v>
      </c>
      <c r="F41" s="290">
        <v>2</v>
      </c>
      <c r="G41" s="153"/>
      <c r="H41" s="75"/>
      <c r="I41" s="76"/>
      <c r="J41" s="76"/>
      <c r="K41" s="76"/>
    </row>
    <row r="42" spans="2:11" s="84" customFormat="1" ht="12" customHeight="1" x14ac:dyDescent="0.25"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2:11" s="84" customFormat="1" ht="12" customHeight="1" x14ac:dyDescent="0.25">
      <c r="B43" s="148"/>
      <c r="C43" s="102"/>
      <c r="D43" s="359" t="s">
        <v>184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9">
    <tabColor theme="1"/>
  </sheetPr>
  <dimension ref="B1:M43"/>
  <sheetViews>
    <sheetView view="pageBreakPreview" zoomScaleNormal="100" workbookViewId="0">
      <selection activeCell="D25" sqref="D25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610</v>
      </c>
      <c r="C7" s="91"/>
      <c r="D7" s="296" t="s">
        <v>140</v>
      </c>
      <c r="E7" s="92"/>
      <c r="F7" s="92"/>
      <c r="G7" s="13"/>
      <c r="H7" s="13"/>
      <c r="I7" s="13"/>
      <c r="J7" s="14"/>
      <c r="K7" s="14"/>
    </row>
    <row r="8" spans="2:13" s="80" customFormat="1" ht="12" customHeight="1" x14ac:dyDescent="0.25">
      <c r="B8" s="289" t="s">
        <v>694</v>
      </c>
      <c r="C8" s="286"/>
      <c r="D8" s="285" t="s">
        <v>135</v>
      </c>
      <c r="E8" s="297"/>
      <c r="F8" s="291"/>
      <c r="G8" s="152"/>
      <c r="H8" s="73"/>
      <c r="I8" s="74"/>
      <c r="J8" s="74"/>
      <c r="K8" s="74"/>
    </row>
    <row r="9" spans="2:13" s="80" customFormat="1" ht="12" customHeight="1" x14ac:dyDescent="0.25">
      <c r="B9" s="288" t="s">
        <v>695</v>
      </c>
      <c r="C9" s="301"/>
      <c r="D9" s="288" t="s">
        <v>115</v>
      </c>
      <c r="E9" s="153" t="s">
        <v>206</v>
      </c>
      <c r="F9" s="290">
        <v>1</v>
      </c>
      <c r="G9" s="153" t="s">
        <v>80</v>
      </c>
      <c r="H9" s="129"/>
      <c r="I9" s="76"/>
      <c r="J9" s="76"/>
      <c r="K9" s="76"/>
    </row>
    <row r="10" spans="2:13" s="81" customFormat="1" ht="12" customHeight="1" x14ac:dyDescent="0.25">
      <c r="B10" s="289" t="s">
        <v>687</v>
      </c>
      <c r="C10" s="286"/>
      <c r="D10" s="285" t="s">
        <v>136</v>
      </c>
      <c r="E10" s="297"/>
      <c r="F10" s="344"/>
      <c r="G10" s="152"/>
      <c r="H10" s="291"/>
      <c r="I10" s="74"/>
      <c r="J10" s="74"/>
      <c r="K10" s="74"/>
    </row>
    <row r="11" spans="2:13" s="82" customFormat="1" ht="12" customHeight="1" x14ac:dyDescent="0.25">
      <c r="B11" s="288" t="s">
        <v>688</v>
      </c>
      <c r="C11" s="301"/>
      <c r="D11" s="288" t="s">
        <v>115</v>
      </c>
      <c r="E11" s="153" t="s">
        <v>206</v>
      </c>
      <c r="F11" s="290">
        <v>0</v>
      </c>
      <c r="G11" s="153" t="s">
        <v>80</v>
      </c>
      <c r="H11" s="290"/>
      <c r="I11" s="76"/>
      <c r="J11" s="76"/>
      <c r="K11" s="76"/>
    </row>
    <row r="12" spans="2:13" s="81" customFormat="1" ht="12" customHeight="1" x14ac:dyDescent="0.25">
      <c r="B12" s="289" t="s">
        <v>689</v>
      </c>
      <c r="C12" s="339"/>
      <c r="D12" s="285" t="s">
        <v>138</v>
      </c>
      <c r="E12" s="297"/>
      <c r="F12" s="344"/>
      <c r="G12" s="152"/>
      <c r="H12" s="291"/>
      <c r="I12" s="88"/>
      <c r="J12" s="88"/>
      <c r="K12" s="88"/>
    </row>
    <row r="13" spans="2:13" s="82" customFormat="1" ht="12" customHeight="1" x14ac:dyDescent="0.25">
      <c r="B13" s="288" t="s">
        <v>690</v>
      </c>
      <c r="C13" s="301"/>
      <c r="D13" s="288" t="s">
        <v>115</v>
      </c>
      <c r="E13" s="153" t="s">
        <v>206</v>
      </c>
      <c r="F13" s="290">
        <v>0</v>
      </c>
      <c r="G13" s="153" t="s">
        <v>80</v>
      </c>
      <c r="H13" s="129"/>
      <c r="I13" s="76"/>
      <c r="J13" s="76"/>
      <c r="K13" s="76"/>
    </row>
    <row r="14" spans="2:13" s="77" customFormat="1" ht="12" customHeight="1" x14ac:dyDescent="0.25">
      <c r="B14" s="289" t="s">
        <v>691</v>
      </c>
      <c r="C14" s="339"/>
      <c r="D14" s="285" t="s">
        <v>139</v>
      </c>
      <c r="E14" s="297"/>
      <c r="F14" s="344"/>
      <c r="G14" s="152"/>
      <c r="H14" s="291"/>
      <c r="I14" s="74"/>
      <c r="J14" s="74"/>
      <c r="K14" s="74"/>
    </row>
    <row r="15" spans="2:13" s="77" customFormat="1" ht="12" customHeight="1" x14ac:dyDescent="0.25">
      <c r="B15" s="288" t="s">
        <v>692</v>
      </c>
      <c r="C15" s="301"/>
      <c r="D15" s="288" t="s">
        <v>115</v>
      </c>
      <c r="E15" s="153" t="s">
        <v>206</v>
      </c>
      <c r="F15" s="290">
        <v>0</v>
      </c>
      <c r="G15" s="153" t="s">
        <v>80</v>
      </c>
      <c r="H15" s="290"/>
      <c r="I15" s="76"/>
      <c r="J15" s="76"/>
      <c r="K15" s="76"/>
    </row>
    <row r="16" spans="2:13" s="77" customFormat="1" ht="12" customHeight="1" x14ac:dyDescent="0.25">
      <c r="B16" s="289"/>
      <c r="C16" s="339"/>
      <c r="D16" s="345"/>
      <c r="E16" s="74"/>
      <c r="F16" s="344"/>
      <c r="G16" s="73"/>
      <c r="H16" s="291"/>
      <c r="I16" s="74"/>
      <c r="J16" s="74"/>
      <c r="K16" s="74"/>
    </row>
    <row r="17" spans="2:11" s="77" customFormat="1" ht="12" customHeight="1" x14ac:dyDescent="0.25">
      <c r="B17" s="315"/>
      <c r="C17" s="339"/>
      <c r="D17" s="346"/>
      <c r="E17" s="75"/>
      <c r="F17" s="343"/>
      <c r="G17" s="75"/>
      <c r="H17" s="290"/>
      <c r="I17" s="76"/>
      <c r="J17" s="76"/>
      <c r="K17" s="76"/>
    </row>
    <row r="18" spans="2:11" s="77" customFormat="1" ht="12" customHeight="1" x14ac:dyDescent="0.25">
      <c r="B18" s="289"/>
      <c r="C18" s="333"/>
      <c r="D18" s="345"/>
      <c r="E18" s="74"/>
      <c r="F18" s="344"/>
      <c r="G18" s="73"/>
      <c r="H18" s="291"/>
      <c r="I18" s="74"/>
      <c r="J18" s="74"/>
      <c r="K18" s="74"/>
    </row>
    <row r="19" spans="2:11" s="77" customFormat="1" ht="12" customHeight="1" x14ac:dyDescent="0.25">
      <c r="B19" s="288"/>
      <c r="C19" s="298"/>
      <c r="D19" s="346"/>
      <c r="E19" s="75"/>
      <c r="F19" s="343"/>
      <c r="G19" s="75"/>
      <c r="H19" s="308"/>
      <c r="I19" s="76"/>
      <c r="J19" s="76"/>
      <c r="K19" s="76"/>
    </row>
    <row r="20" spans="2:11" s="77" customFormat="1" ht="12" customHeight="1" x14ac:dyDescent="0.25">
      <c r="B20" s="289"/>
      <c r="C20" s="286"/>
      <c r="D20" s="345"/>
      <c r="E20" s="74"/>
      <c r="F20" s="344"/>
      <c r="G20" s="73"/>
      <c r="H20" s="291"/>
      <c r="I20" s="74"/>
      <c r="J20" s="74"/>
      <c r="K20" s="74"/>
    </row>
    <row r="21" spans="2:11" s="77" customFormat="1" ht="12" customHeight="1" x14ac:dyDescent="0.25">
      <c r="B21" s="288"/>
      <c r="C21" s="301"/>
      <c r="D21" s="346"/>
      <c r="E21" s="75"/>
      <c r="F21" s="343"/>
      <c r="G21" s="75"/>
      <c r="H21" s="129"/>
      <c r="I21" s="76"/>
      <c r="J21" s="76"/>
      <c r="K21" s="76"/>
    </row>
    <row r="22" spans="2:11" s="77" customFormat="1" ht="12" customHeight="1" x14ac:dyDescent="0.25">
      <c r="B22" s="289"/>
      <c r="C22" s="333"/>
      <c r="D22" s="345"/>
      <c r="E22" s="74"/>
      <c r="F22" s="344"/>
      <c r="G22" s="73"/>
      <c r="H22" s="152"/>
      <c r="I22" s="74"/>
      <c r="J22" s="74"/>
      <c r="K22" s="74"/>
    </row>
    <row r="23" spans="2:11" s="77" customFormat="1" ht="12" customHeight="1" x14ac:dyDescent="0.25">
      <c r="B23" s="288"/>
      <c r="C23" s="298"/>
      <c r="D23" s="346"/>
      <c r="E23" s="75"/>
      <c r="F23" s="343"/>
      <c r="G23" s="75"/>
      <c r="H23" s="290"/>
      <c r="I23" s="76"/>
      <c r="J23" s="76"/>
      <c r="K23" s="76"/>
    </row>
    <row r="24" spans="2:11" s="83" customFormat="1" ht="12" customHeight="1" x14ac:dyDescent="0.25">
      <c r="B24" s="289"/>
      <c r="C24" s="286"/>
      <c r="D24" s="345"/>
      <c r="E24" s="74"/>
      <c r="F24" s="344"/>
      <c r="G24" s="73"/>
      <c r="H24" s="152"/>
      <c r="I24" s="74"/>
      <c r="J24" s="74"/>
      <c r="K24" s="74"/>
    </row>
    <row r="25" spans="2:11" s="84" customFormat="1" ht="12" customHeight="1" x14ac:dyDescent="0.25">
      <c r="B25" s="315"/>
      <c r="C25" s="301"/>
      <c r="D25" s="346"/>
      <c r="E25" s="75"/>
      <c r="F25" s="343"/>
      <c r="G25" s="75"/>
      <c r="H25" s="129"/>
      <c r="I25" s="76"/>
      <c r="J25" s="76"/>
      <c r="K25" s="76"/>
    </row>
    <row r="26" spans="2:11" s="83" customFormat="1" ht="12" customHeight="1" x14ac:dyDescent="0.25">
      <c r="B26" s="289"/>
      <c r="C26" s="333"/>
      <c r="D26" s="345"/>
      <c r="E26" s="74"/>
      <c r="F26" s="344"/>
      <c r="G26" s="73"/>
      <c r="H26" s="152"/>
      <c r="I26" s="74"/>
      <c r="J26" s="74"/>
      <c r="K26" s="74"/>
    </row>
    <row r="27" spans="2:11" s="84" customFormat="1" ht="12" customHeight="1" x14ac:dyDescent="0.25">
      <c r="B27" s="288"/>
      <c r="C27" s="298"/>
      <c r="D27" s="346"/>
      <c r="E27" s="75"/>
      <c r="F27" s="343"/>
      <c r="G27" s="75"/>
      <c r="H27" s="129"/>
      <c r="I27" s="76"/>
      <c r="J27" s="76"/>
      <c r="K27" s="76"/>
    </row>
    <row r="28" spans="2:11" s="77" customFormat="1" ht="12" customHeight="1" x14ac:dyDescent="0.25">
      <c r="B28" s="289"/>
      <c r="C28" s="334"/>
      <c r="D28" s="345"/>
      <c r="E28" s="74"/>
      <c r="F28" s="344"/>
      <c r="G28" s="73"/>
      <c r="H28" s="152"/>
      <c r="I28" s="74"/>
      <c r="J28" s="74"/>
      <c r="K28" s="74"/>
    </row>
    <row r="29" spans="2:11" s="77" customFormat="1" ht="12" customHeight="1" x14ac:dyDescent="0.25">
      <c r="B29" s="288"/>
      <c r="C29" s="335"/>
      <c r="D29" s="346"/>
      <c r="E29" s="75"/>
      <c r="F29" s="343"/>
      <c r="G29" s="75"/>
      <c r="H29" s="290"/>
      <c r="I29" s="76"/>
      <c r="J29" s="76"/>
      <c r="K29" s="76"/>
    </row>
    <row r="30" spans="2:11" s="77" customFormat="1" ht="12" customHeight="1" x14ac:dyDescent="0.25">
      <c r="B30" s="289"/>
      <c r="C30" s="333"/>
      <c r="D30" s="345"/>
      <c r="E30" s="73"/>
      <c r="F30" s="344"/>
      <c r="G30" s="73"/>
      <c r="H30" s="152"/>
      <c r="I30" s="74"/>
      <c r="J30" s="74"/>
      <c r="K30" s="74"/>
    </row>
    <row r="31" spans="2:11" s="77" customFormat="1" ht="12" customHeight="1" x14ac:dyDescent="0.25">
      <c r="B31" s="288"/>
      <c r="C31" s="298"/>
      <c r="D31" s="346"/>
      <c r="E31" s="75"/>
      <c r="F31" s="343"/>
      <c r="G31" s="75"/>
      <c r="H31" s="129"/>
      <c r="I31" s="76"/>
      <c r="J31" s="76"/>
      <c r="K31" s="76"/>
    </row>
    <row r="32" spans="2:11" s="77" customFormat="1" ht="12" customHeight="1" x14ac:dyDescent="0.25">
      <c r="B32" s="289"/>
      <c r="C32" s="333"/>
      <c r="D32" s="345"/>
      <c r="E32" s="74"/>
      <c r="F32" s="344"/>
      <c r="G32" s="73"/>
      <c r="H32" s="152"/>
      <c r="I32" s="88"/>
      <c r="J32" s="88"/>
      <c r="K32" s="88"/>
    </row>
    <row r="33" spans="2:11" s="77" customFormat="1" ht="12" customHeight="1" x14ac:dyDescent="0.25">
      <c r="B33" s="288"/>
      <c r="C33" s="298"/>
      <c r="D33" s="346"/>
      <c r="E33" s="75"/>
      <c r="F33" s="343"/>
      <c r="G33" s="75"/>
      <c r="H33" s="153"/>
      <c r="I33" s="76"/>
      <c r="J33" s="76"/>
      <c r="K33" s="76"/>
    </row>
    <row r="34" spans="2:11" s="83" customFormat="1" ht="12" customHeight="1" x14ac:dyDescent="0.25">
      <c r="B34" s="289"/>
      <c r="C34" s="333"/>
      <c r="D34" s="345"/>
      <c r="E34" s="74"/>
      <c r="F34" s="344"/>
      <c r="G34" s="73"/>
      <c r="H34" s="152"/>
      <c r="I34" s="74"/>
      <c r="J34" s="74"/>
      <c r="K34" s="74"/>
    </row>
    <row r="35" spans="2:11" s="85" customFormat="1" ht="12" customHeight="1" x14ac:dyDescent="0.25">
      <c r="B35" s="288"/>
      <c r="C35" s="298"/>
      <c r="D35" s="346"/>
      <c r="E35" s="75"/>
      <c r="F35" s="343"/>
      <c r="G35" s="75"/>
      <c r="H35" s="129"/>
      <c r="I35" s="76"/>
      <c r="J35" s="76"/>
      <c r="K35" s="76"/>
    </row>
    <row r="36" spans="2:11" s="85" customFormat="1" ht="12" customHeight="1" x14ac:dyDescent="0.25">
      <c r="B36" s="289"/>
      <c r="C36" s="333"/>
      <c r="D36" s="345"/>
      <c r="E36" s="74"/>
      <c r="F36" s="344"/>
      <c r="G36" s="73"/>
      <c r="H36" s="73"/>
      <c r="I36" s="74"/>
      <c r="J36" s="74"/>
      <c r="K36" s="74"/>
    </row>
    <row r="37" spans="2:11" s="85" customFormat="1" ht="12" customHeight="1" x14ac:dyDescent="0.25">
      <c r="B37" s="288"/>
      <c r="C37" s="298"/>
      <c r="D37" s="346"/>
      <c r="E37" s="75"/>
      <c r="F37" s="343"/>
      <c r="G37" s="75"/>
      <c r="H37" s="75"/>
      <c r="I37" s="76"/>
      <c r="J37" s="76"/>
      <c r="K37" s="76"/>
    </row>
    <row r="38" spans="2:11" s="77" customFormat="1" ht="12" customHeight="1" x14ac:dyDescent="0.25">
      <c r="B38" s="289"/>
      <c r="C38" s="306"/>
      <c r="D38" s="345"/>
      <c r="E38" s="74"/>
      <c r="F38" s="344"/>
      <c r="G38" s="73"/>
      <c r="H38" s="73"/>
      <c r="I38" s="74"/>
      <c r="J38" s="74"/>
      <c r="K38" s="74"/>
    </row>
    <row r="39" spans="2:11" s="77" customFormat="1" ht="12" customHeight="1" x14ac:dyDescent="0.25">
      <c r="B39" s="288"/>
      <c r="C39" s="307"/>
      <c r="D39" s="346"/>
      <c r="E39" s="75"/>
      <c r="F39" s="343"/>
      <c r="G39" s="75"/>
      <c r="H39" s="75"/>
      <c r="I39" s="76"/>
      <c r="J39" s="76"/>
      <c r="K39" s="76"/>
    </row>
    <row r="40" spans="2:11" s="84" customFormat="1" ht="12" customHeight="1" x14ac:dyDescent="0.25">
      <c r="B40" s="289"/>
      <c r="C40" s="306"/>
      <c r="D40" s="345"/>
      <c r="E40" s="74"/>
      <c r="F40" s="344"/>
      <c r="G40" s="73"/>
      <c r="H40" s="73"/>
      <c r="I40" s="74"/>
      <c r="J40" s="74"/>
      <c r="K40" s="74"/>
    </row>
    <row r="41" spans="2:11" s="84" customFormat="1" ht="12" customHeight="1" x14ac:dyDescent="0.25">
      <c r="B41" s="288"/>
      <c r="C41" s="307"/>
      <c r="D41" s="346"/>
      <c r="E41" s="75"/>
      <c r="F41" s="343"/>
      <c r="G41" s="75"/>
      <c r="H41" s="75"/>
      <c r="I41" s="76"/>
      <c r="J41" s="76"/>
      <c r="K41" s="76"/>
    </row>
    <row r="42" spans="2:11" s="84" customFormat="1" ht="12" customHeight="1" x14ac:dyDescent="0.25"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2:11" s="84" customFormat="1" ht="12" customHeight="1" x14ac:dyDescent="0.25">
      <c r="B43" s="148"/>
      <c r="C43" s="102"/>
      <c r="D43" s="359" t="s">
        <v>693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  <ignoredErrors>
    <ignoredError sqref="B16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  <pageSetUpPr fitToPage="1"/>
  </sheetPr>
  <dimension ref="A1:K43"/>
  <sheetViews>
    <sheetView view="pageBreakPreview" zoomScale="93" zoomScaleNormal="100" zoomScaleSheetLayoutView="93" workbookViewId="0">
      <selection activeCell="B2" sqref="B2:K2"/>
    </sheetView>
  </sheetViews>
  <sheetFormatPr defaultRowHeight="13.2" x14ac:dyDescent="0.25"/>
  <cols>
    <col min="1" max="1" width="0.88671875" customWidth="1"/>
    <col min="2" max="2" width="8.6640625" customWidth="1"/>
    <col min="3" max="3" width="15.6640625" customWidth="1"/>
    <col min="4" max="4" width="55.6640625" customWidth="1"/>
    <col min="5" max="5" width="6.6640625" customWidth="1"/>
    <col min="6" max="6" width="8.6640625" customWidth="1"/>
    <col min="7" max="8" width="12.6640625" customWidth="1"/>
    <col min="9" max="10" width="0" hidden="1" customWidth="1"/>
    <col min="11" max="11" width="12.6640625" customWidth="1"/>
  </cols>
  <sheetData>
    <row r="1" spans="1:11" x14ac:dyDescent="0.25">
      <c r="A1" s="1"/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1:11" ht="18" x14ac:dyDescent="0.35">
      <c r="A2" s="1"/>
      <c r="B2" s="604" t="str">
        <f>'Cover sht'!$B$2</f>
        <v xml:space="preserve">Dimbaza 66/11kV Substation Refurbishment </v>
      </c>
      <c r="C2" s="652"/>
      <c r="D2" s="652"/>
      <c r="E2" s="652"/>
      <c r="F2" s="652"/>
      <c r="G2" s="652"/>
      <c r="H2" s="652"/>
      <c r="I2" s="652"/>
      <c r="J2" s="652"/>
      <c r="K2" s="653"/>
    </row>
    <row r="3" spans="1:11" ht="7.8" customHeight="1" x14ac:dyDescent="0.25">
      <c r="A3" s="1"/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1:11" x14ac:dyDescent="0.25">
      <c r="A4" s="2"/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</row>
    <row r="5" spans="1:11" x14ac:dyDescent="0.25">
      <c r="A5" s="2"/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</row>
    <row r="6" spans="1:11" x14ac:dyDescent="0.25">
      <c r="A6" s="2"/>
      <c r="B6" s="6"/>
      <c r="C6" s="79"/>
      <c r="D6" s="3"/>
      <c r="E6" s="5"/>
      <c r="F6" s="5"/>
      <c r="G6" s="5"/>
      <c r="H6" s="5"/>
      <c r="I6" s="5"/>
      <c r="J6" s="7"/>
      <c r="K6" s="7"/>
    </row>
    <row r="7" spans="1:11" ht="13.8" x14ac:dyDescent="0.25">
      <c r="A7" s="80"/>
      <c r="B7" s="90" t="s">
        <v>620</v>
      </c>
      <c r="C7" s="91"/>
      <c r="D7" s="296" t="s">
        <v>1025</v>
      </c>
      <c r="E7" s="92"/>
      <c r="F7" s="92"/>
      <c r="G7" s="13"/>
      <c r="H7" s="13"/>
      <c r="I7" s="13"/>
      <c r="J7" s="14"/>
      <c r="K7" s="14"/>
    </row>
    <row r="8" spans="1:11" ht="13.8" x14ac:dyDescent="0.25">
      <c r="A8" s="80"/>
      <c r="B8" s="285">
        <v>7.1</v>
      </c>
      <c r="C8" s="364"/>
      <c r="D8" s="293" t="s">
        <v>1136</v>
      </c>
      <c r="E8" s="295"/>
      <c r="F8" s="291"/>
      <c r="G8" s="291"/>
      <c r="H8" s="291"/>
      <c r="I8" s="74"/>
      <c r="J8" s="74"/>
      <c r="K8" s="74"/>
    </row>
    <row r="9" spans="1:11" ht="13.8" x14ac:dyDescent="0.25">
      <c r="A9" s="80"/>
      <c r="B9" s="288" t="s">
        <v>646</v>
      </c>
      <c r="C9" s="365"/>
      <c r="D9" s="288" t="s">
        <v>1137</v>
      </c>
      <c r="E9" s="153" t="s">
        <v>206</v>
      </c>
      <c r="F9" s="290">
        <v>1</v>
      </c>
      <c r="G9" s="529"/>
      <c r="H9" s="529"/>
      <c r="I9" s="76"/>
      <c r="J9" s="76"/>
      <c r="K9" s="76"/>
    </row>
    <row r="10" spans="1:11" x14ac:dyDescent="0.25">
      <c r="A10" s="81"/>
      <c r="B10" s="285">
        <v>7.2</v>
      </c>
      <c r="C10" s="362"/>
      <c r="D10" s="293" t="s">
        <v>1127</v>
      </c>
      <c r="E10" s="295"/>
      <c r="F10" s="291"/>
      <c r="G10" s="152"/>
      <c r="H10" s="291"/>
      <c r="I10" s="74"/>
      <c r="J10" s="74"/>
      <c r="K10" s="74"/>
    </row>
    <row r="11" spans="1:11" x14ac:dyDescent="0.25">
      <c r="A11" s="82"/>
      <c r="B11" s="288" t="s">
        <v>647</v>
      </c>
      <c r="C11" s="366"/>
      <c r="D11" s="288" t="s">
        <v>1190</v>
      </c>
      <c r="E11" s="153" t="s">
        <v>206</v>
      </c>
      <c r="F11" s="290">
        <v>1</v>
      </c>
      <c r="G11" s="153" t="s">
        <v>80</v>
      </c>
      <c r="H11" s="529"/>
      <c r="I11" s="76"/>
      <c r="J11" s="76"/>
      <c r="K11" s="76"/>
    </row>
    <row r="12" spans="1:11" x14ac:dyDescent="0.25">
      <c r="A12" s="81"/>
      <c r="B12" s="285">
        <v>7.3</v>
      </c>
      <c r="C12" s="367"/>
      <c r="D12" s="293" t="s">
        <v>1127</v>
      </c>
      <c r="E12" s="295"/>
      <c r="F12" s="291"/>
      <c r="G12" s="291"/>
      <c r="H12" s="291"/>
      <c r="I12" s="88"/>
      <c r="J12" s="88"/>
      <c r="K12" s="88"/>
    </row>
    <row r="13" spans="1:11" x14ac:dyDescent="0.25">
      <c r="A13" s="82"/>
      <c r="B13" s="288" t="s">
        <v>648</v>
      </c>
      <c r="C13" s="366"/>
      <c r="D13" s="288" t="s">
        <v>1135</v>
      </c>
      <c r="E13" s="153" t="s">
        <v>206</v>
      </c>
      <c r="F13" s="290">
        <v>1</v>
      </c>
      <c r="G13" s="529"/>
      <c r="H13" s="153"/>
      <c r="I13" s="76"/>
      <c r="J13" s="76"/>
      <c r="K13" s="76"/>
    </row>
    <row r="14" spans="1:11" x14ac:dyDescent="0.25">
      <c r="A14" s="77"/>
      <c r="B14" s="285">
        <v>7.4</v>
      </c>
      <c r="C14" s="367"/>
      <c r="D14" s="285" t="s">
        <v>1132</v>
      </c>
      <c r="E14" s="297"/>
      <c r="F14" s="291"/>
      <c r="G14" s="291"/>
      <c r="H14" s="152"/>
      <c r="I14" s="74"/>
      <c r="J14" s="74"/>
      <c r="K14" s="74"/>
    </row>
    <row r="15" spans="1:11" x14ac:dyDescent="0.25">
      <c r="A15" s="77"/>
      <c r="B15" s="288" t="s">
        <v>649</v>
      </c>
      <c r="C15" s="366"/>
      <c r="D15" s="288" t="s">
        <v>1133</v>
      </c>
      <c r="E15" s="487" t="s">
        <v>206</v>
      </c>
      <c r="F15" s="490">
        <v>3</v>
      </c>
      <c r="G15" s="529"/>
      <c r="H15" s="153"/>
      <c r="I15" s="76"/>
      <c r="J15" s="76"/>
      <c r="K15" s="76"/>
    </row>
    <row r="16" spans="1:11" x14ac:dyDescent="0.25">
      <c r="A16" s="77"/>
      <c r="B16" s="285">
        <v>7.5</v>
      </c>
      <c r="C16" s="367"/>
      <c r="D16" s="285" t="s">
        <v>1126</v>
      </c>
      <c r="E16" s="369"/>
      <c r="F16" s="513"/>
      <c r="G16" s="291"/>
      <c r="H16" s="572"/>
      <c r="I16" s="74"/>
      <c r="J16" s="74"/>
      <c r="K16" s="74"/>
    </row>
    <row r="17" spans="1:11" x14ac:dyDescent="0.25">
      <c r="A17" s="77"/>
      <c r="B17" s="288" t="s">
        <v>650</v>
      </c>
      <c r="C17" s="367"/>
      <c r="D17" s="288" t="s">
        <v>1134</v>
      </c>
      <c r="E17" s="487" t="s">
        <v>1013</v>
      </c>
      <c r="F17" s="490">
        <v>60</v>
      </c>
      <c r="G17" s="153"/>
      <c r="H17" s="129"/>
      <c r="I17" s="76"/>
      <c r="J17" s="76"/>
      <c r="K17" s="76"/>
    </row>
    <row r="18" spans="1:11" x14ac:dyDescent="0.25">
      <c r="A18" s="77"/>
      <c r="B18" s="285">
        <v>7.6</v>
      </c>
      <c r="C18" s="361"/>
      <c r="D18" s="293" t="s">
        <v>1128</v>
      </c>
      <c r="E18" s="295"/>
      <c r="F18" s="291"/>
      <c r="G18" s="152"/>
      <c r="H18" s="572"/>
      <c r="I18" s="74"/>
      <c r="J18" s="74"/>
      <c r="K18" s="74"/>
    </row>
    <row r="19" spans="1:11" x14ac:dyDescent="0.25">
      <c r="A19" s="77"/>
      <c r="B19" s="288" t="s">
        <v>653</v>
      </c>
      <c r="C19" s="368"/>
      <c r="D19" s="288" t="s">
        <v>1129</v>
      </c>
      <c r="E19" s="529" t="s">
        <v>166</v>
      </c>
      <c r="F19" s="290" t="s">
        <v>177</v>
      </c>
      <c r="G19" s="153"/>
      <c r="H19" s="129"/>
      <c r="I19" s="76"/>
      <c r="J19" s="76"/>
      <c r="K19" s="76"/>
    </row>
    <row r="20" spans="1:11" x14ac:dyDescent="0.25">
      <c r="A20" s="77"/>
      <c r="B20" s="285">
        <v>7.7</v>
      </c>
      <c r="C20" s="362"/>
      <c r="D20" s="293" t="s">
        <v>1138</v>
      </c>
      <c r="E20" s="295"/>
      <c r="F20" s="291"/>
      <c r="G20" s="152"/>
      <c r="H20" s="100"/>
      <c r="I20" s="74"/>
      <c r="J20" s="74"/>
      <c r="K20" s="74"/>
    </row>
    <row r="21" spans="1:11" x14ac:dyDescent="0.25">
      <c r="A21" s="77"/>
      <c r="B21" s="288" t="s">
        <v>651</v>
      </c>
      <c r="C21" s="366"/>
      <c r="D21" s="288" t="s">
        <v>1139</v>
      </c>
      <c r="E21" s="529" t="s">
        <v>206</v>
      </c>
      <c r="F21" s="290">
        <v>2</v>
      </c>
      <c r="G21" s="153"/>
      <c r="H21" s="129"/>
      <c r="I21" s="76"/>
      <c r="J21" s="76"/>
      <c r="K21" s="76"/>
    </row>
    <row r="22" spans="1:11" x14ac:dyDescent="0.25">
      <c r="A22" s="77"/>
      <c r="B22" s="285">
        <v>7.8</v>
      </c>
      <c r="C22" s="361"/>
      <c r="D22" s="293" t="s">
        <v>1130</v>
      </c>
      <c r="E22" s="369"/>
      <c r="F22" s="513"/>
      <c r="G22" s="152"/>
      <c r="H22" s="100"/>
      <c r="I22" s="74"/>
      <c r="J22" s="74"/>
      <c r="K22" s="74"/>
    </row>
    <row r="23" spans="1:11" x14ac:dyDescent="0.25">
      <c r="A23" s="77"/>
      <c r="B23" s="288" t="s">
        <v>652</v>
      </c>
      <c r="C23" s="368"/>
      <c r="D23" s="294" t="s">
        <v>1131</v>
      </c>
      <c r="E23" s="487" t="s">
        <v>206</v>
      </c>
      <c r="F23" s="490">
        <v>1</v>
      </c>
      <c r="G23" s="153" t="s">
        <v>80</v>
      </c>
      <c r="H23" s="129"/>
      <c r="I23" s="76"/>
      <c r="J23" s="76"/>
      <c r="K23" s="76"/>
    </row>
    <row r="24" spans="1:11" x14ac:dyDescent="0.25">
      <c r="A24" s="83"/>
      <c r="B24" s="285"/>
      <c r="C24" s="362"/>
      <c r="D24" s="293"/>
      <c r="E24" s="369"/>
      <c r="F24" s="513"/>
      <c r="G24" s="152"/>
      <c r="H24" s="100"/>
      <c r="I24" s="74"/>
      <c r="J24" s="74"/>
      <c r="K24" s="74"/>
    </row>
    <row r="25" spans="1:11" x14ac:dyDescent="0.25">
      <c r="A25" s="84"/>
      <c r="B25" s="288"/>
      <c r="C25" s="366"/>
      <c r="D25" s="294"/>
      <c r="E25" s="487"/>
      <c r="F25" s="490"/>
      <c r="G25" s="153"/>
      <c r="H25" s="129"/>
      <c r="I25" s="76"/>
      <c r="J25" s="76"/>
      <c r="K25" s="76"/>
    </row>
    <row r="26" spans="1:11" x14ac:dyDescent="0.25">
      <c r="A26" s="83"/>
      <c r="B26" s="289"/>
      <c r="C26" s="361"/>
      <c r="D26" s="526"/>
      <c r="E26" s="369"/>
      <c r="F26" s="295"/>
      <c r="G26" s="152"/>
      <c r="H26" s="100"/>
      <c r="I26" s="74"/>
      <c r="J26" s="74"/>
      <c r="K26" s="74"/>
    </row>
    <row r="27" spans="1:11" x14ac:dyDescent="0.25">
      <c r="A27" s="84"/>
      <c r="B27" s="288"/>
      <c r="C27" s="368"/>
      <c r="D27" s="528"/>
      <c r="E27" s="370"/>
      <c r="F27" s="290"/>
      <c r="G27" s="153"/>
      <c r="H27" s="129"/>
      <c r="I27" s="76"/>
      <c r="J27" s="76"/>
      <c r="K27" s="76"/>
    </row>
    <row r="28" spans="1:11" x14ac:dyDescent="0.25">
      <c r="A28" s="77"/>
      <c r="B28" s="289"/>
      <c r="C28" s="360"/>
      <c r="D28" s="293"/>
      <c r="E28" s="369"/>
      <c r="F28" s="513"/>
      <c r="G28" s="152"/>
      <c r="H28" s="100"/>
      <c r="I28" s="74"/>
      <c r="J28" s="74"/>
      <c r="K28" s="74"/>
    </row>
    <row r="29" spans="1:11" x14ac:dyDescent="0.25">
      <c r="A29" s="77"/>
      <c r="B29" s="288"/>
      <c r="C29" s="363"/>
      <c r="D29" s="294"/>
      <c r="E29" s="487"/>
      <c r="F29" s="490"/>
      <c r="G29" s="153"/>
      <c r="H29" s="129"/>
      <c r="I29" s="76"/>
      <c r="J29" s="76"/>
      <c r="K29" s="76"/>
    </row>
    <row r="30" spans="1:11" x14ac:dyDescent="0.25">
      <c r="A30" s="77"/>
      <c r="B30" s="289"/>
      <c r="C30" s="361"/>
      <c r="D30" s="293"/>
      <c r="E30" s="291"/>
      <c r="F30" s="295"/>
      <c r="G30" s="152"/>
      <c r="H30" s="100"/>
      <c r="I30" s="74"/>
      <c r="J30" s="74"/>
      <c r="K30" s="74"/>
    </row>
    <row r="31" spans="1:11" x14ac:dyDescent="0.25">
      <c r="A31" s="77"/>
      <c r="B31" s="288"/>
      <c r="C31" s="368"/>
      <c r="D31" s="294"/>
      <c r="E31" s="290"/>
      <c r="F31" s="353"/>
      <c r="G31" s="153"/>
      <c r="H31" s="129"/>
      <c r="I31" s="76"/>
      <c r="J31" s="76"/>
      <c r="K31" s="76"/>
    </row>
    <row r="32" spans="1:11" x14ac:dyDescent="0.25">
      <c r="A32" s="77"/>
      <c r="B32" s="289"/>
      <c r="C32" s="361"/>
      <c r="D32" s="285"/>
      <c r="E32" s="297"/>
      <c r="F32" s="291"/>
      <c r="G32" s="152"/>
      <c r="H32" s="100"/>
      <c r="I32" s="88"/>
      <c r="J32" s="88"/>
      <c r="K32" s="88"/>
    </row>
    <row r="33" spans="1:11" x14ac:dyDescent="0.25">
      <c r="A33" s="77"/>
      <c r="B33" s="288"/>
      <c r="C33" s="368"/>
      <c r="D33" s="288"/>
      <c r="E33" s="487"/>
      <c r="F33" s="490"/>
      <c r="G33" s="153"/>
      <c r="H33" s="99"/>
      <c r="I33" s="76"/>
      <c r="J33" s="76"/>
      <c r="K33" s="76"/>
    </row>
    <row r="34" spans="1:11" x14ac:dyDescent="0.25">
      <c r="A34" s="83"/>
      <c r="B34" s="289"/>
      <c r="C34" s="361"/>
      <c r="D34" s="285"/>
      <c r="E34" s="297"/>
      <c r="F34" s="291"/>
      <c r="G34" s="152"/>
      <c r="H34" s="100"/>
      <c r="I34" s="74"/>
      <c r="J34" s="74"/>
      <c r="K34" s="74"/>
    </row>
    <row r="35" spans="1:11" x14ac:dyDescent="0.25">
      <c r="A35" s="85"/>
      <c r="B35" s="288"/>
      <c r="C35" s="368"/>
      <c r="D35" s="288"/>
      <c r="E35" s="487"/>
      <c r="F35" s="490"/>
      <c r="G35" s="153"/>
      <c r="H35" s="129"/>
      <c r="I35" s="76"/>
      <c r="J35" s="76"/>
      <c r="K35" s="76"/>
    </row>
    <row r="36" spans="1:11" x14ac:dyDescent="0.25">
      <c r="A36" s="85"/>
      <c r="B36" s="289"/>
      <c r="C36" s="361"/>
      <c r="D36" s="285"/>
      <c r="E36" s="297"/>
      <c r="F36" s="291"/>
      <c r="G36" s="152"/>
      <c r="H36" s="100"/>
      <c r="I36" s="74"/>
      <c r="J36" s="74"/>
      <c r="K36" s="74"/>
    </row>
    <row r="37" spans="1:11" x14ac:dyDescent="0.25">
      <c r="A37" s="85"/>
      <c r="B37" s="288"/>
      <c r="C37" s="368"/>
      <c r="D37" s="288"/>
      <c r="E37" s="487"/>
      <c r="F37" s="490"/>
      <c r="G37" s="153"/>
      <c r="H37" s="99"/>
      <c r="I37" s="76"/>
      <c r="J37" s="76"/>
      <c r="K37" s="76"/>
    </row>
    <row r="38" spans="1:11" x14ac:dyDescent="0.25">
      <c r="A38" s="77"/>
      <c r="B38" s="289"/>
      <c r="C38" s="101"/>
      <c r="D38" s="285"/>
      <c r="E38" s="297"/>
      <c r="F38" s="291"/>
      <c r="G38" s="152"/>
      <c r="H38" s="73"/>
      <c r="I38" s="74"/>
      <c r="J38" s="74"/>
      <c r="K38" s="74"/>
    </row>
    <row r="39" spans="1:11" x14ac:dyDescent="0.25">
      <c r="A39" s="77"/>
      <c r="B39" s="288"/>
      <c r="C39" s="102"/>
      <c r="D39" s="288"/>
      <c r="E39" s="153"/>
      <c r="F39" s="290"/>
      <c r="G39" s="153"/>
      <c r="H39" s="75"/>
      <c r="I39" s="76"/>
      <c r="J39" s="76"/>
      <c r="K39" s="76"/>
    </row>
    <row r="40" spans="1:11" x14ac:dyDescent="0.25">
      <c r="A40" s="84"/>
      <c r="B40" s="289"/>
      <c r="C40" s="101"/>
      <c r="D40" s="285"/>
      <c r="E40" s="297"/>
      <c r="F40" s="291"/>
      <c r="G40" s="152"/>
      <c r="H40" s="73"/>
      <c r="I40" s="74"/>
      <c r="J40" s="74"/>
      <c r="K40" s="74"/>
    </row>
    <row r="41" spans="1:11" x14ac:dyDescent="0.25">
      <c r="A41" s="84"/>
      <c r="B41" s="288"/>
      <c r="C41" s="102"/>
      <c r="D41" s="288"/>
      <c r="E41" s="153"/>
      <c r="F41" s="290"/>
      <c r="G41" s="153"/>
      <c r="H41" s="75"/>
      <c r="I41" s="76"/>
      <c r="J41" s="76"/>
      <c r="K41" s="76"/>
    </row>
    <row r="42" spans="1:11" x14ac:dyDescent="0.25">
      <c r="A42" s="84"/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1:11" x14ac:dyDescent="0.25">
      <c r="A43" s="84"/>
      <c r="B43" s="148"/>
      <c r="C43" s="102"/>
      <c r="D43" s="110" t="s">
        <v>893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2:K2"/>
    <mergeCell ref="B3:K3"/>
    <mergeCell ref="B4:B5"/>
    <mergeCell ref="C4:C5"/>
    <mergeCell ref="D4:D5"/>
    <mergeCell ref="E4:E5"/>
    <mergeCell ref="F4:F5"/>
    <mergeCell ref="G4:G5"/>
    <mergeCell ref="H4:H5"/>
  </mergeCells>
  <pageMargins left="0.74803149606299213" right="0.74803149606299213" top="0.98425196850393704" bottom="0.98425196850393704" header="0.51181102362204722" footer="0.51181102362204722"/>
  <pageSetup paperSize="9" scale="84" orientation="landscape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">
    <tabColor indexed="44"/>
    <pageSetUpPr fitToPage="1"/>
  </sheetPr>
  <dimension ref="A1:K43"/>
  <sheetViews>
    <sheetView view="pageBreakPreview" zoomScale="93" zoomScaleNormal="100" zoomScaleSheetLayoutView="93" workbookViewId="0">
      <selection activeCell="B2" sqref="B2:K2"/>
    </sheetView>
  </sheetViews>
  <sheetFormatPr defaultRowHeight="13.2" x14ac:dyDescent="0.25"/>
  <cols>
    <col min="1" max="1" width="0.88671875" customWidth="1"/>
    <col min="2" max="2" width="8.6640625" customWidth="1"/>
    <col min="3" max="3" width="15.6640625" customWidth="1"/>
    <col min="4" max="4" width="55.6640625" customWidth="1"/>
    <col min="5" max="5" width="6.6640625" customWidth="1"/>
    <col min="6" max="6" width="8.6640625" customWidth="1"/>
    <col min="7" max="8" width="12.6640625" customWidth="1"/>
    <col min="9" max="10" width="0" hidden="1" customWidth="1"/>
    <col min="11" max="11" width="12.6640625" customWidth="1"/>
  </cols>
  <sheetData>
    <row r="1" spans="1:11" x14ac:dyDescent="0.25">
      <c r="A1" s="1"/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1:11" ht="18" x14ac:dyDescent="0.35">
      <c r="A2" s="1"/>
      <c r="B2" s="604" t="str">
        <f>'Cover sht'!$B$2</f>
        <v xml:space="preserve">Dimbaza 66/11kV Substation Refurbishment </v>
      </c>
      <c r="C2" s="652"/>
      <c r="D2" s="652"/>
      <c r="E2" s="652"/>
      <c r="F2" s="652"/>
      <c r="G2" s="652"/>
      <c r="H2" s="652"/>
      <c r="I2" s="652"/>
      <c r="J2" s="652"/>
      <c r="K2" s="653"/>
    </row>
    <row r="3" spans="1:11" x14ac:dyDescent="0.25">
      <c r="A3" s="1"/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1:11" x14ac:dyDescent="0.25">
      <c r="A4" s="2"/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</row>
    <row r="5" spans="1:11" x14ac:dyDescent="0.25">
      <c r="A5" s="2"/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</row>
    <row r="6" spans="1:11" x14ac:dyDescent="0.25">
      <c r="A6" s="2"/>
      <c r="B6" s="6"/>
      <c r="C6" s="79"/>
      <c r="D6" s="3"/>
      <c r="E6" s="5"/>
      <c r="F6" s="5"/>
      <c r="G6" s="5"/>
      <c r="H6" s="5"/>
      <c r="I6" s="5"/>
      <c r="J6" s="7"/>
      <c r="K6" s="7"/>
    </row>
    <row r="7" spans="1:11" ht="13.8" x14ac:dyDescent="0.25">
      <c r="A7" s="80"/>
      <c r="B7" s="90" t="s">
        <v>1028</v>
      </c>
      <c r="C7" s="91"/>
      <c r="D7" s="296" t="s">
        <v>621</v>
      </c>
      <c r="E7" s="92"/>
      <c r="F7" s="92"/>
      <c r="G7" s="13"/>
      <c r="H7" s="13"/>
      <c r="I7" s="13"/>
      <c r="J7" s="14"/>
      <c r="K7" s="14"/>
    </row>
    <row r="8" spans="1:11" ht="13.8" x14ac:dyDescent="0.25">
      <c r="A8" s="80"/>
      <c r="B8" s="285">
        <v>8.1</v>
      </c>
      <c r="C8" s="364"/>
      <c r="D8" s="285" t="s">
        <v>744</v>
      </c>
      <c r="E8" s="297"/>
      <c r="F8" s="291"/>
      <c r="G8" s="152"/>
      <c r="H8" s="73"/>
      <c r="I8" s="74"/>
      <c r="J8" s="74"/>
      <c r="K8" s="74"/>
    </row>
    <row r="9" spans="1:11" ht="13.8" x14ac:dyDescent="0.25">
      <c r="A9" s="80"/>
      <c r="B9" s="288" t="s">
        <v>995</v>
      </c>
      <c r="C9" s="365"/>
      <c r="D9" s="288" t="s">
        <v>956</v>
      </c>
      <c r="E9" s="153" t="s">
        <v>206</v>
      </c>
      <c r="F9" s="290">
        <v>1</v>
      </c>
      <c r="G9" s="153" t="s">
        <v>80</v>
      </c>
      <c r="H9" s="129"/>
      <c r="I9" s="76"/>
      <c r="J9" s="76"/>
      <c r="K9" s="76"/>
    </row>
    <row r="10" spans="1:11" x14ac:dyDescent="0.25">
      <c r="A10" s="81"/>
      <c r="B10" s="285">
        <v>8.1999999999999993</v>
      </c>
      <c r="C10" s="362"/>
      <c r="D10" s="285" t="s">
        <v>745</v>
      </c>
      <c r="E10" s="297"/>
      <c r="F10" s="291"/>
      <c r="G10" s="152"/>
      <c r="H10" s="291"/>
      <c r="I10" s="74"/>
      <c r="J10" s="74"/>
      <c r="K10" s="74"/>
    </row>
    <row r="11" spans="1:11" x14ac:dyDescent="0.25">
      <c r="A11" s="82"/>
      <c r="B11" s="288" t="s">
        <v>999</v>
      </c>
      <c r="C11" s="366"/>
      <c r="D11" s="288" t="s">
        <v>957</v>
      </c>
      <c r="E11" s="153" t="s">
        <v>206</v>
      </c>
      <c r="F11" s="290">
        <v>1</v>
      </c>
      <c r="G11" s="153" t="s">
        <v>80</v>
      </c>
      <c r="H11" s="290"/>
      <c r="I11" s="76"/>
      <c r="J11" s="76"/>
      <c r="K11" s="76"/>
    </row>
    <row r="12" spans="1:11" x14ac:dyDescent="0.25">
      <c r="A12" s="81"/>
      <c r="B12" s="285">
        <v>8.3000000000000007</v>
      </c>
      <c r="C12" s="367"/>
      <c r="D12" s="285" t="s">
        <v>739</v>
      </c>
      <c r="E12" s="297"/>
      <c r="F12" s="291"/>
      <c r="G12" s="152"/>
      <c r="H12" s="291"/>
      <c r="I12" s="88"/>
      <c r="J12" s="88"/>
      <c r="K12" s="88"/>
    </row>
    <row r="13" spans="1:11" x14ac:dyDescent="0.25">
      <c r="A13" s="82"/>
      <c r="B13" s="288" t="s">
        <v>1002</v>
      </c>
      <c r="C13" s="366"/>
      <c r="D13" s="288" t="s">
        <v>796</v>
      </c>
      <c r="E13" s="153" t="s">
        <v>204</v>
      </c>
      <c r="F13" s="290">
        <v>340</v>
      </c>
      <c r="G13" s="153" t="s">
        <v>80</v>
      </c>
      <c r="H13" s="129"/>
      <c r="I13" s="76"/>
      <c r="J13" s="76"/>
      <c r="K13" s="76"/>
    </row>
    <row r="14" spans="1:11" x14ac:dyDescent="0.25">
      <c r="A14" s="77"/>
      <c r="B14" s="285">
        <v>8.4</v>
      </c>
      <c r="C14" s="367"/>
      <c r="D14" s="285" t="s">
        <v>735</v>
      </c>
      <c r="E14" s="297"/>
      <c r="F14" s="291"/>
      <c r="G14" s="152"/>
      <c r="H14" s="291"/>
      <c r="I14" s="74"/>
      <c r="J14" s="74"/>
      <c r="K14" s="74"/>
    </row>
    <row r="15" spans="1:11" x14ac:dyDescent="0.25">
      <c r="A15" s="77"/>
      <c r="B15" s="288" t="s">
        <v>1004</v>
      </c>
      <c r="C15" s="366"/>
      <c r="D15" s="288" t="s">
        <v>713</v>
      </c>
      <c r="E15" s="153" t="s">
        <v>206</v>
      </c>
      <c r="F15" s="290">
        <v>135</v>
      </c>
      <c r="G15" s="153" t="s">
        <v>80</v>
      </c>
      <c r="H15" s="290"/>
      <c r="I15" s="76"/>
      <c r="J15" s="76"/>
      <c r="K15" s="76"/>
    </row>
    <row r="16" spans="1:11" x14ac:dyDescent="0.25">
      <c r="A16" s="77"/>
      <c r="B16" s="285">
        <v>8.5</v>
      </c>
      <c r="C16" s="367"/>
      <c r="D16" s="374" t="s">
        <v>740</v>
      </c>
      <c r="E16" s="376"/>
      <c r="F16" s="369"/>
      <c r="G16" s="369"/>
      <c r="H16" s="291"/>
      <c r="I16" s="74"/>
      <c r="J16" s="74"/>
      <c r="K16" s="74"/>
    </row>
    <row r="17" spans="1:11" x14ac:dyDescent="0.25">
      <c r="A17" s="77"/>
      <c r="B17" s="288" t="s">
        <v>1006</v>
      </c>
      <c r="C17" s="367"/>
      <c r="D17" s="373" t="s">
        <v>733</v>
      </c>
      <c r="E17" s="370" t="s">
        <v>206</v>
      </c>
      <c r="F17" s="370">
        <v>18</v>
      </c>
      <c r="G17" s="370" t="s">
        <v>80</v>
      </c>
      <c r="H17" s="290"/>
      <c r="I17" s="76"/>
      <c r="J17" s="76"/>
      <c r="K17" s="76"/>
    </row>
    <row r="18" spans="1:11" x14ac:dyDescent="0.25">
      <c r="A18" s="77"/>
      <c r="B18" s="285">
        <v>8.6</v>
      </c>
      <c r="C18" s="361"/>
      <c r="D18" s="374" t="s">
        <v>797</v>
      </c>
      <c r="E18" s="376"/>
      <c r="F18" s="369"/>
      <c r="G18" s="152"/>
      <c r="H18" s="291"/>
      <c r="I18" s="74"/>
      <c r="J18" s="74"/>
      <c r="K18" s="74"/>
    </row>
    <row r="19" spans="1:11" x14ac:dyDescent="0.25">
      <c r="A19" s="77"/>
      <c r="B19" s="288" t="s">
        <v>1008</v>
      </c>
      <c r="C19" s="368"/>
      <c r="D19" s="373" t="s">
        <v>734</v>
      </c>
      <c r="E19" s="370" t="s">
        <v>206</v>
      </c>
      <c r="F19" s="370">
        <v>18</v>
      </c>
      <c r="G19" s="153" t="s">
        <v>80</v>
      </c>
      <c r="H19" s="308"/>
      <c r="I19" s="76"/>
      <c r="J19" s="76"/>
      <c r="K19" s="76"/>
    </row>
    <row r="20" spans="1:11" x14ac:dyDescent="0.25">
      <c r="A20" s="77"/>
      <c r="B20" s="285">
        <v>8.6999999999999993</v>
      </c>
      <c r="C20" s="362"/>
      <c r="D20" s="285" t="s">
        <v>741</v>
      </c>
      <c r="E20" s="297"/>
      <c r="F20" s="291"/>
      <c r="G20" s="152"/>
      <c r="H20" s="291"/>
      <c r="I20" s="74"/>
      <c r="J20" s="74"/>
      <c r="K20" s="74"/>
    </row>
    <row r="21" spans="1:11" x14ac:dyDescent="0.25">
      <c r="A21" s="77"/>
      <c r="B21" s="288" t="s">
        <v>1011</v>
      </c>
      <c r="C21" s="366"/>
      <c r="D21" s="288" t="s">
        <v>742</v>
      </c>
      <c r="E21" s="153" t="s">
        <v>206</v>
      </c>
      <c r="F21" s="290">
        <v>1</v>
      </c>
      <c r="G21" s="153" t="s">
        <v>80</v>
      </c>
      <c r="H21" s="129"/>
      <c r="I21" s="76"/>
      <c r="J21" s="76"/>
      <c r="K21" s="76"/>
    </row>
    <row r="22" spans="1:11" x14ac:dyDescent="0.25">
      <c r="A22" s="77"/>
      <c r="B22" s="285">
        <v>8.8000000000000007</v>
      </c>
      <c r="C22" s="361"/>
      <c r="D22" s="285" t="s">
        <v>955</v>
      </c>
      <c r="E22" s="297"/>
      <c r="F22" s="291"/>
      <c r="G22" s="152"/>
      <c r="H22" s="152"/>
      <c r="I22" s="74"/>
      <c r="J22" s="74"/>
      <c r="K22" s="74"/>
    </row>
    <row r="23" spans="1:11" x14ac:dyDescent="0.25">
      <c r="A23" s="77"/>
      <c r="B23" s="288" t="s">
        <v>1015</v>
      </c>
      <c r="C23" s="368"/>
      <c r="D23" s="288" t="s">
        <v>743</v>
      </c>
      <c r="E23" s="153" t="s">
        <v>206</v>
      </c>
      <c r="F23" s="290">
        <v>1</v>
      </c>
      <c r="G23" s="153" t="s">
        <v>80</v>
      </c>
      <c r="H23" s="290"/>
      <c r="I23" s="76"/>
      <c r="J23" s="76"/>
      <c r="K23" s="76"/>
    </row>
    <row r="24" spans="1:11" x14ac:dyDescent="0.25">
      <c r="A24" s="83"/>
      <c r="B24" s="285">
        <v>8.9</v>
      </c>
      <c r="C24" s="362"/>
      <c r="D24" s="285" t="s">
        <v>879</v>
      </c>
      <c r="E24" s="297"/>
      <c r="F24" s="291"/>
      <c r="G24" s="152"/>
      <c r="H24" s="152"/>
      <c r="I24" s="74"/>
      <c r="J24" s="74"/>
      <c r="K24" s="74"/>
    </row>
    <row r="25" spans="1:11" x14ac:dyDescent="0.25">
      <c r="A25" s="84"/>
      <c r="B25" s="288" t="s">
        <v>1018</v>
      </c>
      <c r="C25" s="366"/>
      <c r="D25" s="288" t="s">
        <v>958</v>
      </c>
      <c r="E25" s="153" t="s">
        <v>206</v>
      </c>
      <c r="F25" s="290">
        <v>3</v>
      </c>
      <c r="G25" s="153" t="s">
        <v>80</v>
      </c>
      <c r="H25" s="129"/>
      <c r="I25" s="76"/>
      <c r="J25" s="76"/>
      <c r="K25" s="76"/>
    </row>
    <row r="26" spans="1:11" x14ac:dyDescent="0.25">
      <c r="A26" s="83"/>
      <c r="B26" s="289">
        <v>8.1</v>
      </c>
      <c r="C26" s="361"/>
      <c r="D26" s="285" t="s">
        <v>746</v>
      </c>
      <c r="E26" s="297"/>
      <c r="F26" s="291"/>
      <c r="G26" s="152"/>
      <c r="H26" s="152"/>
      <c r="I26" s="74"/>
      <c r="J26" s="74"/>
      <c r="K26" s="74"/>
    </row>
    <row r="27" spans="1:11" x14ac:dyDescent="0.25">
      <c r="A27" s="84"/>
      <c r="B27" s="288" t="s">
        <v>1144</v>
      </c>
      <c r="C27" s="368"/>
      <c r="D27" s="288" t="s">
        <v>959</v>
      </c>
      <c r="E27" s="153" t="s">
        <v>206</v>
      </c>
      <c r="F27" s="290">
        <v>3</v>
      </c>
      <c r="G27" s="153" t="s">
        <v>80</v>
      </c>
      <c r="H27" s="129"/>
      <c r="I27" s="76"/>
      <c r="J27" s="76"/>
      <c r="K27" s="76"/>
    </row>
    <row r="28" spans="1:11" x14ac:dyDescent="0.25">
      <c r="A28" s="77"/>
      <c r="B28" s="289">
        <v>8.11</v>
      </c>
      <c r="C28" s="360"/>
      <c r="D28" s="285" t="s">
        <v>747</v>
      </c>
      <c r="E28" s="297"/>
      <c r="F28" s="291"/>
      <c r="G28" s="152"/>
      <c r="H28" s="152"/>
      <c r="I28" s="74"/>
      <c r="J28" s="74"/>
      <c r="K28" s="74"/>
    </row>
    <row r="29" spans="1:11" x14ac:dyDescent="0.25">
      <c r="A29" s="77"/>
      <c r="B29" s="288" t="s">
        <v>1145</v>
      </c>
      <c r="C29" s="363"/>
      <c r="D29" s="288" t="s">
        <v>960</v>
      </c>
      <c r="E29" s="153" t="s">
        <v>206</v>
      </c>
      <c r="F29" s="290">
        <v>1</v>
      </c>
      <c r="G29" s="153" t="s">
        <v>80</v>
      </c>
      <c r="H29" s="290"/>
      <c r="I29" s="76"/>
      <c r="J29" s="76"/>
      <c r="K29" s="76"/>
    </row>
    <row r="30" spans="1:11" x14ac:dyDescent="0.25">
      <c r="A30" s="77"/>
      <c r="B30" s="289">
        <v>8.1199999999999992</v>
      </c>
      <c r="C30" s="361"/>
      <c r="D30" s="285" t="s">
        <v>748</v>
      </c>
      <c r="E30" s="297"/>
      <c r="F30" s="291"/>
      <c r="G30" s="152"/>
      <c r="H30" s="152"/>
      <c r="I30" s="74"/>
      <c r="J30" s="74"/>
      <c r="K30" s="74"/>
    </row>
    <row r="31" spans="1:11" x14ac:dyDescent="0.25">
      <c r="A31" s="77"/>
      <c r="B31" s="288" t="s">
        <v>1146</v>
      </c>
      <c r="C31" s="368"/>
      <c r="D31" s="288" t="s">
        <v>961</v>
      </c>
      <c r="E31" s="153" t="s">
        <v>206</v>
      </c>
      <c r="F31" s="290">
        <v>1</v>
      </c>
      <c r="G31" s="153" t="s">
        <v>80</v>
      </c>
      <c r="H31" s="129"/>
      <c r="I31" s="76"/>
      <c r="J31" s="76"/>
      <c r="K31" s="76"/>
    </row>
    <row r="32" spans="1:11" x14ac:dyDescent="0.25">
      <c r="A32" s="77"/>
      <c r="B32" s="289">
        <v>8.1300000000000008</v>
      </c>
      <c r="C32" s="361"/>
      <c r="D32" s="285" t="s">
        <v>749</v>
      </c>
      <c r="E32" s="297"/>
      <c r="F32" s="291"/>
      <c r="G32" s="152"/>
      <c r="H32" s="152"/>
      <c r="I32" s="88"/>
      <c r="J32" s="88"/>
      <c r="K32" s="88"/>
    </row>
    <row r="33" spans="1:11" x14ac:dyDescent="0.25">
      <c r="A33" s="77"/>
      <c r="B33" s="288" t="s">
        <v>1147</v>
      </c>
      <c r="C33" s="368"/>
      <c r="D33" s="288" t="s">
        <v>962</v>
      </c>
      <c r="E33" s="153" t="s">
        <v>206</v>
      </c>
      <c r="F33" s="290">
        <v>3</v>
      </c>
      <c r="G33" s="153" t="s">
        <v>80</v>
      </c>
      <c r="H33" s="153"/>
      <c r="I33" s="76"/>
      <c r="J33" s="76"/>
      <c r="K33" s="76"/>
    </row>
    <row r="34" spans="1:11" x14ac:dyDescent="0.25">
      <c r="A34" s="83"/>
      <c r="B34" s="289">
        <v>8.14</v>
      </c>
      <c r="C34" s="361"/>
      <c r="D34" s="285" t="s">
        <v>751</v>
      </c>
      <c r="E34" s="297"/>
      <c r="F34" s="291"/>
      <c r="G34" s="152"/>
      <c r="H34" s="152"/>
      <c r="I34" s="74"/>
      <c r="J34" s="74"/>
      <c r="K34" s="74"/>
    </row>
    <row r="35" spans="1:11" x14ac:dyDescent="0.25">
      <c r="A35" s="85"/>
      <c r="B35" s="288" t="s">
        <v>1148</v>
      </c>
      <c r="C35" s="368"/>
      <c r="D35" s="288" t="s">
        <v>963</v>
      </c>
      <c r="E35" s="153" t="s">
        <v>206</v>
      </c>
      <c r="F35" s="290">
        <v>1</v>
      </c>
      <c r="G35" s="153" t="s">
        <v>80</v>
      </c>
      <c r="H35" s="129"/>
      <c r="I35" s="76"/>
      <c r="J35" s="76"/>
      <c r="K35" s="76"/>
    </row>
    <row r="36" spans="1:11" x14ac:dyDescent="0.25">
      <c r="A36" s="85"/>
      <c r="B36" s="289">
        <v>8.15</v>
      </c>
      <c r="C36" s="361"/>
      <c r="D36" s="285" t="s">
        <v>750</v>
      </c>
      <c r="E36" s="297"/>
      <c r="F36" s="291"/>
      <c r="G36" s="152"/>
      <c r="H36" s="73"/>
      <c r="I36" s="74"/>
      <c r="J36" s="74"/>
      <c r="K36" s="74"/>
    </row>
    <row r="37" spans="1:11" x14ac:dyDescent="0.25">
      <c r="A37" s="85"/>
      <c r="B37" s="288" t="s">
        <v>1149</v>
      </c>
      <c r="C37" s="368"/>
      <c r="D37" s="288" t="s">
        <v>964</v>
      </c>
      <c r="E37" s="153" t="s">
        <v>206</v>
      </c>
      <c r="F37" s="290">
        <v>1</v>
      </c>
      <c r="G37" s="153" t="s">
        <v>80</v>
      </c>
      <c r="H37" s="75"/>
      <c r="I37" s="76"/>
      <c r="J37" s="76"/>
      <c r="K37" s="76"/>
    </row>
    <row r="38" spans="1:11" x14ac:dyDescent="0.25">
      <c r="A38" s="77"/>
      <c r="B38" s="289">
        <v>8.16</v>
      </c>
      <c r="C38" s="101"/>
      <c r="D38" s="285" t="s">
        <v>1024</v>
      </c>
      <c r="E38" s="297"/>
      <c r="F38" s="291"/>
      <c r="G38" s="152"/>
      <c r="H38" s="73"/>
      <c r="I38" s="74"/>
      <c r="J38" s="74"/>
      <c r="K38" s="74"/>
    </row>
    <row r="39" spans="1:11" x14ac:dyDescent="0.25">
      <c r="A39" s="77"/>
      <c r="B39" s="288" t="s">
        <v>1150</v>
      </c>
      <c r="C39" s="102"/>
      <c r="D39" s="288" t="s">
        <v>1023</v>
      </c>
      <c r="E39" s="153" t="s">
        <v>206</v>
      </c>
      <c r="F39" s="290">
        <v>3</v>
      </c>
      <c r="G39" s="153" t="s">
        <v>80</v>
      </c>
      <c r="H39" s="75"/>
      <c r="I39" s="76"/>
      <c r="J39" s="76"/>
      <c r="K39" s="76"/>
    </row>
    <row r="40" spans="1:11" x14ac:dyDescent="0.25">
      <c r="A40" s="84"/>
      <c r="B40" s="289">
        <v>8.17</v>
      </c>
      <c r="C40" s="101"/>
      <c r="D40" s="285" t="s">
        <v>752</v>
      </c>
      <c r="E40" s="297"/>
      <c r="F40" s="291"/>
      <c r="G40" s="152"/>
      <c r="H40" s="73"/>
      <c r="I40" s="74"/>
      <c r="J40" s="74"/>
      <c r="K40" s="74"/>
    </row>
    <row r="41" spans="1:11" x14ac:dyDescent="0.25">
      <c r="A41" s="84"/>
      <c r="B41" s="288" t="s">
        <v>1151</v>
      </c>
      <c r="C41" s="102"/>
      <c r="D41" s="288" t="s">
        <v>965</v>
      </c>
      <c r="E41" s="153" t="s">
        <v>206</v>
      </c>
      <c r="F41" s="290">
        <v>1</v>
      </c>
      <c r="G41" s="153" t="s">
        <v>80</v>
      </c>
      <c r="H41" s="75"/>
      <c r="I41" s="76"/>
      <c r="J41" s="76"/>
      <c r="K41" s="76"/>
    </row>
    <row r="42" spans="1:11" x14ac:dyDescent="0.25">
      <c r="A42" s="84"/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1:11" x14ac:dyDescent="0.25">
      <c r="A43" s="84"/>
      <c r="B43" s="148"/>
      <c r="C43" s="102"/>
      <c r="D43" s="110" t="s">
        <v>184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2:K2"/>
    <mergeCell ref="B3:K3"/>
    <mergeCell ref="B4:B5"/>
    <mergeCell ref="C4:C5"/>
    <mergeCell ref="D4:D5"/>
    <mergeCell ref="E4:E5"/>
    <mergeCell ref="F4:F5"/>
    <mergeCell ref="G4:G5"/>
    <mergeCell ref="H4:H5"/>
  </mergeCells>
  <phoneticPr fontId="40" type="noConversion"/>
  <pageMargins left="0.74803149606299213" right="0.74803149606299213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7">
    <tabColor indexed="44"/>
    <pageSetUpPr fitToPage="1"/>
  </sheetPr>
  <dimension ref="A1:K43"/>
  <sheetViews>
    <sheetView view="pageBreakPreview" zoomScale="86" zoomScaleNormal="100" zoomScaleSheetLayoutView="86" workbookViewId="0">
      <selection activeCell="B2" sqref="B2:K2"/>
    </sheetView>
  </sheetViews>
  <sheetFormatPr defaultRowHeight="13.2" x14ac:dyDescent="0.25"/>
  <cols>
    <col min="1" max="1" width="0.88671875" customWidth="1"/>
    <col min="2" max="2" width="8.6640625" customWidth="1"/>
    <col min="3" max="3" width="15.6640625" customWidth="1"/>
    <col min="4" max="4" width="55.6640625" customWidth="1"/>
    <col min="5" max="5" width="6.6640625" customWidth="1"/>
    <col min="6" max="6" width="8.6640625" customWidth="1"/>
    <col min="7" max="8" width="12.6640625" customWidth="1"/>
    <col min="9" max="10" width="0" hidden="1" customWidth="1"/>
    <col min="11" max="11" width="12.6640625" customWidth="1"/>
  </cols>
  <sheetData>
    <row r="1" spans="1:11" x14ac:dyDescent="0.25">
      <c r="A1" s="1"/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1:11" ht="18" x14ac:dyDescent="0.35">
      <c r="A2" s="1"/>
      <c r="B2" s="604" t="str">
        <f>'Cover sht'!$B$2</f>
        <v xml:space="preserve">Dimbaza 66/11kV Substation Refurbishment </v>
      </c>
      <c r="C2" s="652"/>
      <c r="D2" s="652"/>
      <c r="E2" s="652"/>
      <c r="F2" s="652"/>
      <c r="G2" s="652"/>
      <c r="H2" s="652"/>
      <c r="I2" s="652"/>
      <c r="J2" s="652"/>
      <c r="K2" s="653"/>
    </row>
    <row r="3" spans="1:11" x14ac:dyDescent="0.25">
      <c r="A3" s="1"/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1:11" x14ac:dyDescent="0.25">
      <c r="A4" s="2"/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</row>
    <row r="5" spans="1:11" x14ac:dyDescent="0.25">
      <c r="A5" s="2"/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</row>
    <row r="6" spans="1:11" x14ac:dyDescent="0.25">
      <c r="A6" s="2"/>
      <c r="B6" s="6"/>
      <c r="C6" s="79"/>
      <c r="D6" s="3"/>
      <c r="E6" s="5"/>
      <c r="F6" s="5"/>
      <c r="G6" s="5"/>
      <c r="H6" s="5"/>
      <c r="I6" s="5"/>
      <c r="J6" s="7"/>
      <c r="K6" s="7"/>
    </row>
    <row r="7" spans="1:11" ht="13.8" x14ac:dyDescent="0.25">
      <c r="A7" s="80"/>
      <c r="B7" s="90" t="s">
        <v>620</v>
      </c>
      <c r="C7" s="91"/>
      <c r="D7" s="296" t="s">
        <v>621</v>
      </c>
      <c r="E7" s="92"/>
      <c r="F7" s="92"/>
      <c r="G7" s="13"/>
      <c r="H7" s="13"/>
      <c r="I7" s="13"/>
      <c r="J7" s="14"/>
      <c r="K7" s="14"/>
    </row>
    <row r="8" spans="1:11" ht="13.8" x14ac:dyDescent="0.25">
      <c r="A8" s="80"/>
      <c r="B8" s="289" t="s">
        <v>763</v>
      </c>
      <c r="C8" s="364"/>
      <c r="D8" s="285" t="s">
        <v>753</v>
      </c>
      <c r="E8" s="297"/>
      <c r="F8" s="291"/>
      <c r="G8" s="152"/>
      <c r="H8" s="73"/>
      <c r="I8" s="74"/>
      <c r="J8" s="74"/>
      <c r="K8" s="74"/>
    </row>
    <row r="9" spans="1:11" ht="13.8" x14ac:dyDescent="0.25">
      <c r="A9" s="80"/>
      <c r="B9" s="288" t="s">
        <v>738</v>
      </c>
      <c r="C9" s="365"/>
      <c r="D9" s="288" t="s">
        <v>966</v>
      </c>
      <c r="E9" s="153" t="s">
        <v>206</v>
      </c>
      <c r="F9" s="290">
        <v>1</v>
      </c>
      <c r="G9" s="153" t="s">
        <v>80</v>
      </c>
      <c r="H9" s="129"/>
      <c r="I9" s="76"/>
      <c r="J9" s="76"/>
      <c r="K9" s="76"/>
    </row>
    <row r="10" spans="1:11" x14ac:dyDescent="0.25">
      <c r="A10" s="81"/>
      <c r="B10" s="289" t="s">
        <v>764</v>
      </c>
      <c r="C10" s="362"/>
      <c r="D10" s="285" t="s">
        <v>754</v>
      </c>
      <c r="E10" s="297"/>
      <c r="F10" s="291"/>
      <c r="G10" s="152"/>
      <c r="H10" s="291"/>
      <c r="I10" s="74"/>
      <c r="J10" s="74"/>
      <c r="K10" s="74"/>
    </row>
    <row r="11" spans="1:11" x14ac:dyDescent="0.25">
      <c r="A11" s="82"/>
      <c r="B11" s="288" t="s">
        <v>765</v>
      </c>
      <c r="C11" s="366"/>
      <c r="D11" s="288" t="s">
        <v>967</v>
      </c>
      <c r="E11" s="153" t="s">
        <v>206</v>
      </c>
      <c r="F11" s="290">
        <v>1</v>
      </c>
      <c r="G11" s="153" t="s">
        <v>80</v>
      </c>
      <c r="H11" s="290"/>
      <c r="I11" s="76"/>
      <c r="J11" s="76"/>
      <c r="K11" s="76"/>
    </row>
    <row r="12" spans="1:11" x14ac:dyDescent="0.25">
      <c r="A12" s="81"/>
      <c r="B12" s="289" t="s">
        <v>766</v>
      </c>
      <c r="C12" s="367"/>
      <c r="D12" s="285" t="s">
        <v>755</v>
      </c>
      <c r="E12" s="297"/>
      <c r="F12" s="291"/>
      <c r="G12" s="152"/>
      <c r="H12" s="291"/>
      <c r="I12" s="88"/>
      <c r="J12" s="88"/>
      <c r="K12" s="88"/>
    </row>
    <row r="13" spans="1:11" x14ac:dyDescent="0.25">
      <c r="A13" s="82"/>
      <c r="B13" s="288" t="s">
        <v>767</v>
      </c>
      <c r="C13" s="366"/>
      <c r="D13" s="288" t="s">
        <v>968</v>
      </c>
      <c r="E13" s="153" t="s">
        <v>206</v>
      </c>
      <c r="F13" s="290">
        <v>1</v>
      </c>
      <c r="G13" s="153" t="s">
        <v>80</v>
      </c>
      <c r="H13" s="129"/>
      <c r="I13" s="76"/>
      <c r="J13" s="76"/>
      <c r="K13" s="76"/>
    </row>
    <row r="14" spans="1:11" x14ac:dyDescent="0.25">
      <c r="A14" s="77"/>
      <c r="B14" s="289" t="s">
        <v>768</v>
      </c>
      <c r="C14" s="367"/>
      <c r="D14" s="285" t="s">
        <v>756</v>
      </c>
      <c r="E14" s="297"/>
      <c r="F14" s="291"/>
      <c r="G14" s="152"/>
      <c r="H14" s="291"/>
      <c r="I14" s="74"/>
      <c r="J14" s="74"/>
      <c r="K14" s="74"/>
    </row>
    <row r="15" spans="1:11" x14ac:dyDescent="0.25">
      <c r="A15" s="77"/>
      <c r="B15" s="288" t="s">
        <v>769</v>
      </c>
      <c r="C15" s="366"/>
      <c r="D15" s="288" t="s">
        <v>966</v>
      </c>
      <c r="E15" s="153" t="s">
        <v>206</v>
      </c>
      <c r="F15" s="290">
        <v>1</v>
      </c>
      <c r="G15" s="153" t="s">
        <v>80</v>
      </c>
      <c r="H15" s="290"/>
      <c r="I15" s="76"/>
      <c r="J15" s="76"/>
      <c r="K15" s="76"/>
    </row>
    <row r="16" spans="1:11" x14ac:dyDescent="0.25">
      <c r="A16" s="77"/>
      <c r="B16" s="289" t="s">
        <v>770</v>
      </c>
      <c r="C16" s="367"/>
      <c r="D16" s="285" t="s">
        <v>757</v>
      </c>
      <c r="E16" s="297"/>
      <c r="F16" s="291"/>
      <c r="G16" s="152"/>
      <c r="H16" s="291"/>
      <c r="I16" s="74"/>
      <c r="J16" s="74"/>
      <c r="K16" s="74"/>
    </row>
    <row r="17" spans="1:11" x14ac:dyDescent="0.25">
      <c r="A17" s="77"/>
      <c r="B17" s="288" t="s">
        <v>771</v>
      </c>
      <c r="C17" s="367"/>
      <c r="D17" s="288" t="s">
        <v>969</v>
      </c>
      <c r="E17" s="153" t="s">
        <v>206</v>
      </c>
      <c r="F17" s="290">
        <v>1</v>
      </c>
      <c r="G17" s="153" t="s">
        <v>80</v>
      </c>
      <c r="H17" s="290"/>
      <c r="I17" s="76"/>
      <c r="J17" s="76"/>
      <c r="K17" s="76"/>
    </row>
    <row r="18" spans="1:11" x14ac:dyDescent="0.25">
      <c r="A18" s="77"/>
      <c r="B18" s="289" t="s">
        <v>772</v>
      </c>
      <c r="C18" s="361"/>
      <c r="D18" s="285" t="s">
        <v>758</v>
      </c>
      <c r="E18" s="297"/>
      <c r="F18" s="291"/>
      <c r="G18" s="152"/>
      <c r="H18" s="291"/>
      <c r="I18" s="74"/>
      <c r="J18" s="74"/>
      <c r="K18" s="74"/>
    </row>
    <row r="19" spans="1:11" x14ac:dyDescent="0.25">
      <c r="A19" s="77"/>
      <c r="B19" s="288" t="s">
        <v>773</v>
      </c>
      <c r="C19" s="368"/>
      <c r="D19" s="288" t="s">
        <v>970</v>
      </c>
      <c r="E19" s="153" t="s">
        <v>206</v>
      </c>
      <c r="F19" s="290">
        <v>1</v>
      </c>
      <c r="G19" s="153" t="s">
        <v>80</v>
      </c>
      <c r="H19" s="308"/>
      <c r="I19" s="76"/>
      <c r="J19" s="76"/>
      <c r="K19" s="76"/>
    </row>
    <row r="20" spans="1:11" x14ac:dyDescent="0.25">
      <c r="A20" s="77"/>
      <c r="B20" s="289" t="s">
        <v>774</v>
      </c>
      <c r="C20" s="362"/>
      <c r="D20" s="285" t="s">
        <v>759</v>
      </c>
      <c r="E20" s="297"/>
      <c r="F20" s="291"/>
      <c r="G20" s="152"/>
      <c r="H20" s="291"/>
      <c r="I20" s="74"/>
      <c r="J20" s="74"/>
      <c r="K20" s="74"/>
    </row>
    <row r="21" spans="1:11" x14ac:dyDescent="0.25">
      <c r="A21" s="77"/>
      <c r="B21" s="288" t="s">
        <v>775</v>
      </c>
      <c r="C21" s="366"/>
      <c r="D21" s="288" t="s">
        <v>971</v>
      </c>
      <c r="E21" s="153" t="s">
        <v>206</v>
      </c>
      <c r="F21" s="290">
        <v>1</v>
      </c>
      <c r="G21" s="153" t="s">
        <v>80</v>
      </c>
      <c r="H21" s="129"/>
      <c r="I21" s="76"/>
      <c r="J21" s="76"/>
      <c r="K21" s="76"/>
    </row>
    <row r="22" spans="1:11" x14ac:dyDescent="0.25">
      <c r="A22" s="77"/>
      <c r="B22" s="289" t="s">
        <v>776</v>
      </c>
      <c r="C22" s="361"/>
      <c r="D22" s="374" t="s">
        <v>883</v>
      </c>
      <c r="E22" s="376"/>
      <c r="F22" s="369"/>
      <c r="G22" s="369"/>
      <c r="H22" s="152"/>
      <c r="I22" s="74"/>
      <c r="J22" s="74"/>
      <c r="K22" s="74"/>
    </row>
    <row r="23" spans="1:11" x14ac:dyDescent="0.25">
      <c r="A23" s="77"/>
      <c r="B23" s="288" t="s">
        <v>777</v>
      </c>
      <c r="C23" s="368"/>
      <c r="D23" s="373" t="s">
        <v>884</v>
      </c>
      <c r="E23" s="370" t="s">
        <v>206</v>
      </c>
      <c r="F23" s="370">
        <v>3</v>
      </c>
      <c r="G23" s="370" t="s">
        <v>80</v>
      </c>
      <c r="H23" s="290"/>
      <c r="I23" s="76"/>
      <c r="J23" s="76"/>
      <c r="K23" s="76"/>
    </row>
    <row r="24" spans="1:11" x14ac:dyDescent="0.25">
      <c r="A24" s="83"/>
      <c r="B24" s="289" t="s">
        <v>778</v>
      </c>
      <c r="C24" s="362"/>
      <c r="D24" s="285" t="s">
        <v>760</v>
      </c>
      <c r="E24" s="297"/>
      <c r="F24" s="291"/>
      <c r="G24" s="152"/>
      <c r="H24" s="152"/>
      <c r="I24" s="74"/>
      <c r="J24" s="74"/>
      <c r="K24" s="74"/>
    </row>
    <row r="25" spans="1:11" x14ac:dyDescent="0.25">
      <c r="A25" s="84"/>
      <c r="B25" s="288" t="s">
        <v>779</v>
      </c>
      <c r="C25" s="366"/>
      <c r="D25" s="288" t="s">
        <v>972</v>
      </c>
      <c r="E25" s="153" t="s">
        <v>206</v>
      </c>
      <c r="F25" s="290">
        <v>1</v>
      </c>
      <c r="G25" s="153" t="s">
        <v>80</v>
      </c>
      <c r="H25" s="129"/>
      <c r="I25" s="76"/>
      <c r="J25" s="76"/>
      <c r="K25" s="76"/>
    </row>
    <row r="26" spans="1:11" x14ac:dyDescent="0.25">
      <c r="A26" s="83"/>
      <c r="B26" s="289" t="s">
        <v>780</v>
      </c>
      <c r="C26" s="361"/>
      <c r="D26" s="285" t="s">
        <v>761</v>
      </c>
      <c r="E26" s="152"/>
      <c r="F26" s="369"/>
      <c r="G26" s="152"/>
      <c r="H26" s="152"/>
      <c r="I26" s="74"/>
      <c r="J26" s="74"/>
      <c r="K26" s="74"/>
    </row>
    <row r="27" spans="1:11" x14ac:dyDescent="0.25">
      <c r="A27" s="84"/>
      <c r="B27" s="288" t="s">
        <v>781</v>
      </c>
      <c r="C27" s="368"/>
      <c r="D27" s="294" t="s">
        <v>1152</v>
      </c>
      <c r="E27" s="153" t="s">
        <v>204</v>
      </c>
      <c r="F27" s="370">
        <v>60</v>
      </c>
      <c r="G27" s="153" t="s">
        <v>80</v>
      </c>
      <c r="H27" s="129"/>
      <c r="I27" s="76"/>
      <c r="J27" s="76"/>
      <c r="K27" s="76"/>
    </row>
    <row r="28" spans="1:11" x14ac:dyDescent="0.25">
      <c r="A28" s="77"/>
      <c r="B28" s="289" t="s">
        <v>782</v>
      </c>
      <c r="C28" s="360"/>
      <c r="D28" s="285" t="s">
        <v>761</v>
      </c>
      <c r="E28" s="152"/>
      <c r="F28" s="369"/>
      <c r="G28" s="152"/>
      <c r="H28" s="152"/>
      <c r="I28" s="74"/>
      <c r="J28" s="74"/>
      <c r="K28" s="74"/>
    </row>
    <row r="29" spans="1:11" x14ac:dyDescent="0.25">
      <c r="A29" s="77"/>
      <c r="B29" s="288" t="s">
        <v>783</v>
      </c>
      <c r="C29" s="363"/>
      <c r="D29" s="294" t="s">
        <v>1153</v>
      </c>
      <c r="E29" s="153" t="s">
        <v>204</v>
      </c>
      <c r="F29" s="370">
        <v>120</v>
      </c>
      <c r="G29" s="153" t="s">
        <v>80</v>
      </c>
      <c r="H29" s="290"/>
      <c r="I29" s="76"/>
      <c r="J29" s="76"/>
      <c r="K29" s="76"/>
    </row>
    <row r="30" spans="1:11" x14ac:dyDescent="0.25">
      <c r="A30" s="77"/>
      <c r="B30" s="289" t="s">
        <v>784</v>
      </c>
      <c r="C30" s="361"/>
      <c r="D30" s="285" t="s">
        <v>761</v>
      </c>
      <c r="E30" s="152"/>
      <c r="F30" s="369"/>
      <c r="G30" s="152"/>
      <c r="H30" s="152"/>
      <c r="I30" s="74"/>
      <c r="J30" s="74"/>
      <c r="K30" s="74"/>
    </row>
    <row r="31" spans="1:11" x14ac:dyDescent="0.25">
      <c r="A31" s="77"/>
      <c r="B31" s="288" t="s">
        <v>785</v>
      </c>
      <c r="C31" s="368"/>
      <c r="D31" s="294" t="s">
        <v>762</v>
      </c>
      <c r="E31" s="153" t="s">
        <v>204</v>
      </c>
      <c r="F31" s="370">
        <v>60</v>
      </c>
      <c r="G31" s="153" t="s">
        <v>80</v>
      </c>
      <c r="H31" s="129"/>
      <c r="I31" s="76"/>
      <c r="J31" s="76"/>
      <c r="K31" s="76"/>
    </row>
    <row r="32" spans="1:11" x14ac:dyDescent="0.25">
      <c r="A32" s="77"/>
      <c r="B32" s="289" t="s">
        <v>786</v>
      </c>
      <c r="C32" s="361"/>
      <c r="D32" s="374" t="s">
        <v>792</v>
      </c>
      <c r="E32" s="376"/>
      <c r="F32" s="369"/>
      <c r="G32" s="369"/>
      <c r="H32" s="152"/>
      <c r="I32" s="88"/>
      <c r="J32" s="88"/>
      <c r="K32" s="88"/>
    </row>
    <row r="33" spans="1:11" x14ac:dyDescent="0.25">
      <c r="A33" s="77"/>
      <c r="B33" s="288" t="s">
        <v>787</v>
      </c>
      <c r="C33" s="368"/>
      <c r="D33" s="373" t="s">
        <v>793</v>
      </c>
      <c r="E33" s="370" t="s">
        <v>206</v>
      </c>
      <c r="F33" s="370">
        <v>1</v>
      </c>
      <c r="G33" s="370" t="s">
        <v>80</v>
      </c>
      <c r="H33" s="153"/>
      <c r="I33" s="76"/>
      <c r="J33" s="76"/>
      <c r="K33" s="76"/>
    </row>
    <row r="34" spans="1:11" x14ac:dyDescent="0.25">
      <c r="A34" s="83"/>
      <c r="B34" s="289" t="s">
        <v>788</v>
      </c>
      <c r="C34" s="361"/>
      <c r="D34" s="374" t="s">
        <v>794</v>
      </c>
      <c r="E34" s="376"/>
      <c r="F34" s="369"/>
      <c r="G34" s="369"/>
      <c r="H34" s="152"/>
      <c r="I34" s="74"/>
      <c r="J34" s="74"/>
      <c r="K34" s="74"/>
    </row>
    <row r="35" spans="1:11" x14ac:dyDescent="0.25">
      <c r="A35" s="85"/>
      <c r="B35" s="288" t="s">
        <v>789</v>
      </c>
      <c r="C35" s="368"/>
      <c r="D35" s="373" t="s">
        <v>795</v>
      </c>
      <c r="E35" s="370" t="s">
        <v>206</v>
      </c>
      <c r="F35" s="370">
        <v>2</v>
      </c>
      <c r="G35" s="370" t="s">
        <v>80</v>
      </c>
      <c r="H35" s="129"/>
      <c r="I35" s="76"/>
      <c r="J35" s="76"/>
      <c r="K35" s="76"/>
    </row>
    <row r="36" spans="1:11" x14ac:dyDescent="0.25">
      <c r="A36" s="85"/>
      <c r="B36" s="289" t="s">
        <v>790</v>
      </c>
      <c r="C36" s="361"/>
      <c r="D36" s="374" t="s">
        <v>1191</v>
      </c>
      <c r="E36" s="376"/>
      <c r="F36" s="369"/>
      <c r="G36" s="369"/>
      <c r="H36" s="73"/>
      <c r="I36" s="74"/>
      <c r="J36" s="74"/>
      <c r="K36" s="74"/>
    </row>
    <row r="37" spans="1:11" x14ac:dyDescent="0.25">
      <c r="A37" s="85"/>
      <c r="B37" s="288" t="s">
        <v>791</v>
      </c>
      <c r="C37" s="368"/>
      <c r="D37" s="373" t="s">
        <v>1192</v>
      </c>
      <c r="E37" s="370" t="s">
        <v>204</v>
      </c>
      <c r="F37" s="370">
        <v>150</v>
      </c>
      <c r="G37" s="370" t="s">
        <v>80</v>
      </c>
      <c r="H37" s="75"/>
      <c r="I37" s="76"/>
      <c r="J37" s="76"/>
      <c r="K37" s="76"/>
    </row>
    <row r="38" spans="1:11" x14ac:dyDescent="0.25">
      <c r="A38" s="77"/>
      <c r="B38" s="289"/>
      <c r="C38" s="101"/>
      <c r="D38" s="374"/>
      <c r="E38" s="376"/>
      <c r="F38" s="369"/>
      <c r="G38" s="369"/>
      <c r="H38" s="73"/>
      <c r="I38" s="74"/>
      <c r="J38" s="74"/>
      <c r="K38" s="74"/>
    </row>
    <row r="39" spans="1:11" x14ac:dyDescent="0.25">
      <c r="A39" s="77"/>
      <c r="B39" s="288"/>
      <c r="C39" s="102"/>
      <c r="D39" s="373"/>
      <c r="E39" s="370"/>
      <c r="F39" s="370"/>
      <c r="G39" s="370"/>
      <c r="H39" s="75"/>
      <c r="I39" s="76"/>
      <c r="J39" s="76"/>
      <c r="K39" s="76"/>
    </row>
    <row r="40" spans="1:11" x14ac:dyDescent="0.25">
      <c r="A40" s="84"/>
      <c r="B40" s="289"/>
      <c r="C40" s="101"/>
      <c r="D40" s="374"/>
      <c r="E40" s="376"/>
      <c r="F40" s="369"/>
      <c r="G40" s="369"/>
      <c r="H40" s="73"/>
      <c r="I40" s="74"/>
      <c r="J40" s="74"/>
      <c r="K40" s="74"/>
    </row>
    <row r="41" spans="1:11" x14ac:dyDescent="0.25">
      <c r="A41" s="84"/>
      <c r="B41" s="288"/>
      <c r="C41" s="102"/>
      <c r="D41" s="373"/>
      <c r="E41" s="370"/>
      <c r="F41" s="370"/>
      <c r="G41" s="370"/>
      <c r="H41" s="75"/>
      <c r="I41" s="76"/>
      <c r="J41" s="76"/>
      <c r="K41" s="76"/>
    </row>
    <row r="42" spans="1:11" x14ac:dyDescent="0.25">
      <c r="A42" s="84"/>
      <c r="B42" s="147"/>
      <c r="C42" s="101"/>
      <c r="D42" s="104"/>
      <c r="E42" s="106"/>
      <c r="F42" s="109"/>
      <c r="G42" s="93"/>
      <c r="H42" s="104"/>
      <c r="I42" s="104"/>
      <c r="J42" s="104"/>
      <c r="K42" s="104"/>
    </row>
    <row r="43" spans="1:11" x14ac:dyDescent="0.25">
      <c r="A43" s="84"/>
      <c r="B43" s="148"/>
      <c r="C43" s="102"/>
      <c r="D43" s="110" t="s">
        <v>893</v>
      </c>
      <c r="E43" s="99"/>
      <c r="F43" s="105"/>
      <c r="G43" s="96"/>
      <c r="H43" s="107"/>
      <c r="I43" s="107"/>
      <c r="J43" s="107"/>
      <c r="K43" s="107"/>
    </row>
  </sheetData>
  <mergeCells count="10">
    <mergeCell ref="B1:K1"/>
    <mergeCell ref="B2:K2"/>
    <mergeCell ref="B3:K3"/>
    <mergeCell ref="B4:B5"/>
    <mergeCell ref="C4:C5"/>
    <mergeCell ref="D4:D5"/>
    <mergeCell ref="E4:E5"/>
    <mergeCell ref="F4:F5"/>
    <mergeCell ref="G4:G5"/>
    <mergeCell ref="H4:H5"/>
  </mergeCells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  <ignoredErrors>
    <ignoredError sqref="B8:B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FFFF00"/>
    <pageSetUpPr fitToPage="1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5" customWidth="1"/>
    <col min="2" max="2" width="8.6640625" style="15" customWidth="1"/>
    <col min="3" max="3" width="15.6640625" style="15" customWidth="1"/>
    <col min="4" max="4" width="55.6640625" style="15" customWidth="1"/>
    <col min="5" max="5" width="6.6640625" style="332" customWidth="1"/>
    <col min="6" max="6" width="8.6640625" style="15" customWidth="1"/>
    <col min="7" max="8" width="12.6640625" style="15" customWidth="1"/>
    <col min="9" max="10" width="12.6640625" style="15" hidden="1" customWidth="1"/>
    <col min="11" max="11" width="12.6640625" style="15" customWidth="1"/>
    <col min="12" max="12" width="9.109375" style="15"/>
    <col min="13" max="13" width="9.109375" style="15" hidden="1" customWidth="1"/>
    <col min="14" max="16384" width="9.109375" style="15"/>
  </cols>
  <sheetData>
    <row r="1" spans="2:13" ht="6" customHeight="1" x14ac:dyDescent="0.25">
      <c r="B1" s="637"/>
      <c r="C1" s="638"/>
      <c r="D1" s="638"/>
      <c r="E1" s="638"/>
      <c r="F1" s="638"/>
      <c r="G1" s="638"/>
      <c r="H1" s="638"/>
      <c r="I1" s="638"/>
      <c r="J1" s="638"/>
      <c r="K1" s="638"/>
    </row>
    <row r="2" spans="2:13" ht="20.100000000000001" customHeight="1" x14ac:dyDescent="0.25">
      <c r="B2" s="641" t="str">
        <f>'Cover sht'!B2</f>
        <v xml:space="preserve">Dimbaza 66/11kV Substation Refurbishment </v>
      </c>
      <c r="C2" s="642"/>
      <c r="D2" s="642"/>
      <c r="E2" s="642"/>
      <c r="F2" s="642"/>
      <c r="G2" s="642"/>
      <c r="H2" s="642"/>
      <c r="I2" s="642"/>
      <c r="J2" s="642"/>
      <c r="K2" s="643"/>
      <c r="L2" s="320"/>
      <c r="M2" s="320"/>
    </row>
    <row r="3" spans="2:13" ht="6" customHeight="1" x14ac:dyDescent="0.25">
      <c r="B3" s="639"/>
      <c r="C3" s="640"/>
      <c r="D3" s="640"/>
      <c r="E3" s="640"/>
      <c r="F3" s="640"/>
      <c r="G3" s="640"/>
      <c r="H3" s="640"/>
      <c r="I3" s="640"/>
      <c r="J3" s="640"/>
      <c r="K3" s="640"/>
    </row>
    <row r="4" spans="2:13" s="320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314" t="s">
        <v>199</v>
      </c>
      <c r="J4" s="321" t="s">
        <v>199</v>
      </c>
      <c r="K4" s="314" t="s">
        <v>221</v>
      </c>
      <c r="L4" s="322"/>
    </row>
    <row r="5" spans="2:13" s="320" customFormat="1" ht="12" customHeight="1" x14ac:dyDescent="0.25">
      <c r="B5" s="645"/>
      <c r="C5" s="647"/>
      <c r="D5" s="645"/>
      <c r="E5" s="645"/>
      <c r="F5" s="645"/>
      <c r="G5" s="645"/>
      <c r="H5" s="645"/>
      <c r="I5" s="323" t="s">
        <v>219</v>
      </c>
      <c r="J5" s="324" t="s">
        <v>220</v>
      </c>
      <c r="K5" s="323" t="s">
        <v>222</v>
      </c>
      <c r="L5" s="322"/>
    </row>
    <row r="6" spans="2:13" s="320" customFormat="1" ht="6" hidden="1" customHeight="1" x14ac:dyDescent="0.25">
      <c r="B6" s="325"/>
      <c r="C6" s="326"/>
      <c r="D6" s="327"/>
      <c r="E6" s="300"/>
      <c r="F6" s="328"/>
      <c r="G6" s="328"/>
      <c r="H6" s="328"/>
      <c r="I6" s="328"/>
      <c r="J6" s="329"/>
      <c r="K6" s="329"/>
    </row>
    <row r="7" spans="2:13" s="80" customFormat="1" ht="12" customHeight="1" x14ac:dyDescent="0.25">
      <c r="B7" s="144" t="s">
        <v>214</v>
      </c>
      <c r="C7" s="145"/>
      <c r="D7" s="330" t="s">
        <v>176</v>
      </c>
      <c r="E7" s="146"/>
      <c r="F7" s="146"/>
      <c r="G7" s="89"/>
      <c r="H7" s="89"/>
      <c r="I7" s="89"/>
      <c r="J7" s="89"/>
      <c r="K7" s="89"/>
    </row>
    <row r="8" spans="2:13" s="80" customFormat="1" ht="12" customHeight="1" x14ac:dyDescent="0.25">
      <c r="B8" s="374">
        <v>1.1000000000000001</v>
      </c>
      <c r="C8" s="423" t="s">
        <v>868</v>
      </c>
      <c r="D8" s="475" t="s">
        <v>171</v>
      </c>
      <c r="E8" s="369"/>
      <c r="F8" s="477"/>
      <c r="G8" s="485"/>
      <c r="H8" s="477"/>
      <c r="I8" s="477"/>
      <c r="J8" s="477"/>
      <c r="K8" s="477"/>
    </row>
    <row r="9" spans="2:13" s="80" customFormat="1" ht="12" customHeight="1" x14ac:dyDescent="0.25">
      <c r="B9" s="483" t="s">
        <v>207</v>
      </c>
      <c r="C9" s="443" t="s">
        <v>1033</v>
      </c>
      <c r="D9" s="486" t="s">
        <v>917</v>
      </c>
      <c r="E9" s="370" t="s">
        <v>619</v>
      </c>
      <c r="F9" s="490">
        <v>10</v>
      </c>
      <c r="G9" s="370" t="s">
        <v>80</v>
      </c>
      <c r="H9" s="478"/>
      <c r="I9" s="478"/>
      <c r="J9" s="478"/>
      <c r="K9" s="478"/>
    </row>
    <row r="10" spans="2:13" s="81" customFormat="1" ht="12" customHeight="1" x14ac:dyDescent="0.25">
      <c r="B10" s="374">
        <v>1.2</v>
      </c>
      <c r="C10" s="423"/>
      <c r="D10" s="475" t="s">
        <v>898</v>
      </c>
      <c r="E10" s="369"/>
      <c r="F10" s="513"/>
      <c r="G10" s="485"/>
      <c r="H10" s="430"/>
      <c r="I10" s="430"/>
      <c r="J10" s="481"/>
      <c r="K10" s="482"/>
    </row>
    <row r="11" spans="2:13" s="82" customFormat="1" ht="12" customHeight="1" x14ac:dyDescent="0.2">
      <c r="B11" s="373" t="s">
        <v>225</v>
      </c>
      <c r="C11" s="443"/>
      <c r="D11" s="486" t="s">
        <v>897</v>
      </c>
      <c r="E11" s="487" t="s">
        <v>853</v>
      </c>
      <c r="F11" s="490">
        <v>120</v>
      </c>
      <c r="G11" s="370" t="s">
        <v>80</v>
      </c>
      <c r="H11" s="433"/>
      <c r="I11" s="433"/>
      <c r="J11" s="488"/>
      <c r="K11" s="489"/>
    </row>
    <row r="12" spans="2:13" s="81" customFormat="1" ht="12" customHeight="1" x14ac:dyDescent="0.25">
      <c r="B12" s="441">
        <v>1.3</v>
      </c>
      <c r="C12" s="453"/>
      <c r="D12" s="475" t="s">
        <v>174</v>
      </c>
      <c r="E12" s="369"/>
      <c r="F12" s="516"/>
      <c r="G12" s="485"/>
      <c r="H12" s="431"/>
      <c r="I12" s="431"/>
      <c r="J12" s="431"/>
      <c r="K12" s="431"/>
    </row>
    <row r="13" spans="2:13" s="82" customFormat="1" ht="12" customHeight="1" x14ac:dyDescent="0.25">
      <c r="B13" s="484" t="s">
        <v>226</v>
      </c>
      <c r="C13" s="424"/>
      <c r="D13" s="492" t="s">
        <v>930</v>
      </c>
      <c r="E13" s="370" t="s">
        <v>204</v>
      </c>
      <c r="F13" s="517">
        <v>40</v>
      </c>
      <c r="G13" s="370" t="s">
        <v>80</v>
      </c>
      <c r="H13" s="444"/>
      <c r="I13" s="444"/>
      <c r="J13" s="444"/>
      <c r="K13" s="444"/>
    </row>
    <row r="14" spans="2:13" s="77" customFormat="1" ht="12" customHeight="1" x14ac:dyDescent="0.25">
      <c r="B14" s="441">
        <v>1.4</v>
      </c>
      <c r="C14" s="423"/>
      <c r="D14" s="520" t="s">
        <v>1030</v>
      </c>
      <c r="E14" s="369"/>
      <c r="F14" s="516"/>
      <c r="G14" s="485"/>
      <c r="H14" s="431"/>
      <c r="I14" s="431"/>
      <c r="J14" s="431"/>
      <c r="K14" s="431"/>
    </row>
    <row r="15" spans="2:13" s="77" customFormat="1" ht="12" customHeight="1" x14ac:dyDescent="0.25">
      <c r="B15" s="373" t="s">
        <v>227</v>
      </c>
      <c r="C15" s="443"/>
      <c r="D15" s="486" t="s">
        <v>1031</v>
      </c>
      <c r="E15" s="370" t="s">
        <v>206</v>
      </c>
      <c r="F15" s="372">
        <v>1</v>
      </c>
      <c r="G15" s="370"/>
      <c r="H15" s="444"/>
      <c r="I15" s="444"/>
      <c r="J15" s="444"/>
      <c r="K15" s="444"/>
    </row>
    <row r="16" spans="2:13" s="77" customFormat="1" ht="12" customHeight="1" x14ac:dyDescent="0.25">
      <c r="B16" s="441">
        <v>1.5</v>
      </c>
      <c r="C16" s="429"/>
      <c r="D16" s="475" t="s">
        <v>907</v>
      </c>
      <c r="E16" s="369"/>
      <c r="F16" s="514"/>
      <c r="G16" s="485"/>
      <c r="H16" s="431"/>
      <c r="I16" s="431"/>
      <c r="J16" s="431"/>
      <c r="K16" s="431"/>
    </row>
    <row r="17" spans="2:11" s="77" customFormat="1" ht="12" customHeight="1" x14ac:dyDescent="0.25">
      <c r="B17" s="373" t="s">
        <v>228</v>
      </c>
      <c r="C17" s="432"/>
      <c r="D17" s="486" t="s">
        <v>899</v>
      </c>
      <c r="E17" s="490" t="s">
        <v>204</v>
      </c>
      <c r="F17" s="515">
        <v>40</v>
      </c>
      <c r="G17" s="370" t="s">
        <v>80</v>
      </c>
      <c r="H17" s="480"/>
      <c r="I17" s="480"/>
      <c r="J17" s="480"/>
      <c r="K17" s="480"/>
    </row>
    <row r="18" spans="2:11" s="77" customFormat="1" ht="12" customHeight="1" x14ac:dyDescent="0.25">
      <c r="B18" s="374">
        <v>1.6</v>
      </c>
      <c r="C18" s="429"/>
      <c r="D18" s="374" t="s">
        <v>1029</v>
      </c>
      <c r="E18" s="369"/>
      <c r="F18" s="514"/>
      <c r="G18" s="485"/>
      <c r="H18" s="431"/>
      <c r="I18" s="431"/>
      <c r="J18" s="431"/>
      <c r="K18" s="431"/>
    </row>
    <row r="19" spans="2:11" s="77" customFormat="1" ht="12" customHeight="1" x14ac:dyDescent="0.25">
      <c r="B19" s="483" t="s">
        <v>229</v>
      </c>
      <c r="C19" s="432"/>
      <c r="D19" s="486" t="s">
        <v>929</v>
      </c>
      <c r="E19" s="370" t="s">
        <v>641</v>
      </c>
      <c r="F19" s="515">
        <v>20</v>
      </c>
      <c r="G19" s="370" t="s">
        <v>80</v>
      </c>
      <c r="H19" s="480"/>
      <c r="I19" s="480"/>
      <c r="J19" s="480"/>
      <c r="K19" s="480"/>
    </row>
    <row r="20" spans="2:11" s="77" customFormat="1" ht="12" customHeight="1" x14ac:dyDescent="0.25">
      <c r="B20" s="374">
        <v>1.7</v>
      </c>
      <c r="C20" s="423"/>
      <c r="D20" s="475" t="s">
        <v>174</v>
      </c>
      <c r="E20" s="369"/>
      <c r="F20" s="516"/>
      <c r="G20" s="485"/>
      <c r="H20" s="430"/>
      <c r="I20" s="430"/>
      <c r="J20" s="481"/>
      <c r="K20" s="482"/>
    </row>
    <row r="21" spans="2:11" s="77" customFormat="1" ht="12" customHeight="1" x14ac:dyDescent="0.25">
      <c r="B21" s="483" t="s">
        <v>379</v>
      </c>
      <c r="C21" s="443"/>
      <c r="D21" s="492" t="s">
        <v>906</v>
      </c>
      <c r="E21" s="370" t="s">
        <v>204</v>
      </c>
      <c r="F21" s="517">
        <v>20</v>
      </c>
      <c r="G21" s="370" t="s">
        <v>80</v>
      </c>
      <c r="H21" s="433"/>
      <c r="I21" s="433"/>
      <c r="J21" s="488"/>
      <c r="K21" s="489"/>
    </row>
    <row r="22" spans="2:11" s="77" customFormat="1" ht="12" customHeight="1" x14ac:dyDescent="0.25">
      <c r="B22" s="374">
        <v>1.8</v>
      </c>
      <c r="C22" s="423"/>
      <c r="D22" s="475" t="s">
        <v>174</v>
      </c>
      <c r="E22" s="369"/>
      <c r="F22" s="516"/>
      <c r="G22" s="430"/>
      <c r="H22" s="430"/>
      <c r="I22" s="430"/>
      <c r="J22" s="481"/>
      <c r="K22" s="482"/>
    </row>
    <row r="23" spans="2:11" s="77" customFormat="1" ht="12" customHeight="1" x14ac:dyDescent="0.25">
      <c r="B23" s="484" t="s">
        <v>386</v>
      </c>
      <c r="C23" s="443"/>
      <c r="D23" s="492" t="s">
        <v>175</v>
      </c>
      <c r="E23" s="370" t="s">
        <v>204</v>
      </c>
      <c r="F23" s="517">
        <v>260</v>
      </c>
      <c r="G23" s="479"/>
      <c r="H23" s="433"/>
      <c r="I23" s="433"/>
      <c r="J23" s="488"/>
      <c r="K23" s="489"/>
    </row>
    <row r="24" spans="2:11" s="83" customFormat="1" ht="12" customHeight="1" x14ac:dyDescent="0.25">
      <c r="B24" s="441">
        <v>1.9</v>
      </c>
      <c r="C24" s="423"/>
      <c r="D24" s="475" t="s">
        <v>941</v>
      </c>
      <c r="E24" s="369"/>
      <c r="F24" s="516"/>
      <c r="G24" s="430"/>
      <c r="H24" s="431"/>
      <c r="I24" s="431"/>
      <c r="J24" s="431"/>
      <c r="K24" s="431"/>
    </row>
    <row r="25" spans="2:11" s="84" customFormat="1" ht="12" customHeight="1" x14ac:dyDescent="0.25">
      <c r="B25" s="373" t="s">
        <v>387</v>
      </c>
      <c r="C25" s="443"/>
      <c r="D25" s="492" t="s">
        <v>175</v>
      </c>
      <c r="E25" s="370" t="s">
        <v>204</v>
      </c>
      <c r="F25" s="517">
        <v>15</v>
      </c>
      <c r="G25" s="479"/>
      <c r="H25" s="480"/>
      <c r="I25" s="480"/>
      <c r="J25" s="480"/>
      <c r="K25" s="480"/>
    </row>
    <row r="26" spans="2:11" s="83" customFormat="1" ht="12" customHeight="1" x14ac:dyDescent="0.25">
      <c r="B26" s="441" t="s">
        <v>388</v>
      </c>
      <c r="C26" s="491"/>
      <c r="D26" s="475" t="s">
        <v>173</v>
      </c>
      <c r="E26" s="369"/>
      <c r="F26" s="516"/>
      <c r="G26" s="430"/>
      <c r="H26" s="430"/>
      <c r="I26" s="430"/>
      <c r="J26" s="481"/>
      <c r="K26" s="481"/>
    </row>
    <row r="27" spans="2:11" s="84" customFormat="1" ht="12" customHeight="1" x14ac:dyDescent="0.25">
      <c r="B27" s="442" t="s">
        <v>389</v>
      </c>
      <c r="C27" s="432"/>
      <c r="D27" s="492" t="s">
        <v>172</v>
      </c>
      <c r="E27" s="370" t="s">
        <v>204</v>
      </c>
      <c r="F27" s="517">
        <v>80</v>
      </c>
      <c r="G27" s="479"/>
      <c r="H27" s="433"/>
      <c r="I27" s="433"/>
      <c r="J27" s="488"/>
      <c r="K27" s="488"/>
    </row>
    <row r="28" spans="2:11" s="77" customFormat="1" ht="12" customHeight="1" x14ac:dyDescent="0.25">
      <c r="B28" s="441" t="s">
        <v>390</v>
      </c>
      <c r="C28" s="491"/>
      <c r="D28" s="374" t="s">
        <v>900</v>
      </c>
      <c r="E28" s="369"/>
      <c r="F28" s="422"/>
      <c r="G28" s="430"/>
      <c r="H28" s="430"/>
      <c r="I28" s="430"/>
      <c r="J28" s="481"/>
      <c r="K28" s="482"/>
    </row>
    <row r="29" spans="2:11" s="77" customFormat="1" ht="12" customHeight="1" x14ac:dyDescent="0.25">
      <c r="B29" s="442" t="s">
        <v>391</v>
      </c>
      <c r="C29" s="432"/>
      <c r="D29" s="373" t="s">
        <v>901</v>
      </c>
      <c r="E29" s="370" t="s">
        <v>206</v>
      </c>
      <c r="F29" s="370">
        <v>4</v>
      </c>
      <c r="G29" s="433"/>
      <c r="H29" s="433"/>
      <c r="I29" s="433"/>
      <c r="J29" s="488"/>
      <c r="K29" s="489"/>
    </row>
    <row r="30" spans="2:11" s="77" customFormat="1" ht="12" customHeight="1" x14ac:dyDescent="0.25">
      <c r="B30" s="441" t="s">
        <v>392</v>
      </c>
      <c r="C30" s="491"/>
      <c r="D30" s="475" t="s">
        <v>902</v>
      </c>
      <c r="E30" s="369"/>
      <c r="F30" s="513"/>
      <c r="G30" s="485"/>
      <c r="H30" s="430"/>
      <c r="I30" s="430"/>
      <c r="J30" s="481"/>
      <c r="K30" s="482"/>
    </row>
    <row r="31" spans="2:11" s="77" customFormat="1" ht="12" customHeight="1" x14ac:dyDescent="0.2">
      <c r="B31" s="442" t="s">
        <v>393</v>
      </c>
      <c r="C31" s="432"/>
      <c r="D31" s="486" t="s">
        <v>903</v>
      </c>
      <c r="E31" s="487" t="s">
        <v>904</v>
      </c>
      <c r="F31" s="490">
        <v>10</v>
      </c>
      <c r="G31" s="370" t="s">
        <v>80</v>
      </c>
      <c r="H31" s="433"/>
      <c r="I31" s="433"/>
      <c r="J31" s="488"/>
      <c r="K31" s="489"/>
    </row>
    <row r="32" spans="2:11" s="77" customFormat="1" ht="12" customHeight="1" x14ac:dyDescent="0.25">
      <c r="B32" s="441" t="s">
        <v>394</v>
      </c>
      <c r="C32" s="494"/>
      <c r="D32" s="475" t="s">
        <v>902</v>
      </c>
      <c r="E32" s="369"/>
      <c r="F32" s="513"/>
      <c r="G32" s="493"/>
      <c r="H32" s="430"/>
      <c r="I32" s="430"/>
      <c r="J32" s="481"/>
      <c r="K32" s="482"/>
    </row>
    <row r="33" spans="2:11" s="77" customFormat="1" ht="12" customHeight="1" x14ac:dyDescent="0.2">
      <c r="B33" s="442" t="s">
        <v>395</v>
      </c>
      <c r="C33" s="495"/>
      <c r="D33" s="486" t="s">
        <v>905</v>
      </c>
      <c r="E33" s="487" t="s">
        <v>904</v>
      </c>
      <c r="F33" s="490">
        <v>10</v>
      </c>
      <c r="G33" s="370" t="s">
        <v>80</v>
      </c>
      <c r="H33" s="433"/>
      <c r="I33" s="433"/>
      <c r="J33" s="488"/>
      <c r="K33" s="489"/>
    </row>
    <row r="34" spans="2:11" s="83" customFormat="1" ht="12" customHeight="1" x14ac:dyDescent="0.25">
      <c r="B34" s="441" t="s">
        <v>416</v>
      </c>
      <c r="C34" s="429"/>
      <c r="D34" s="475" t="s">
        <v>945</v>
      </c>
      <c r="E34" s="369"/>
      <c r="F34" s="513"/>
      <c r="G34" s="493"/>
      <c r="H34" s="497"/>
      <c r="I34" s="498"/>
      <c r="J34" s="481"/>
      <c r="K34" s="481"/>
    </row>
    <row r="35" spans="2:11" s="85" customFormat="1" ht="12" customHeight="1" x14ac:dyDescent="0.2">
      <c r="B35" s="442" t="s">
        <v>417</v>
      </c>
      <c r="C35" s="432"/>
      <c r="D35" s="486" t="s">
        <v>94</v>
      </c>
      <c r="E35" s="487" t="s">
        <v>904</v>
      </c>
      <c r="F35" s="490">
        <v>50</v>
      </c>
      <c r="G35" s="370"/>
      <c r="H35" s="370"/>
      <c r="I35" s="370"/>
      <c r="J35" s="488"/>
      <c r="K35" s="488"/>
    </row>
    <row r="36" spans="2:11" s="85" customFormat="1" ht="12" customHeight="1" x14ac:dyDescent="0.25">
      <c r="B36" s="441" t="s">
        <v>418</v>
      </c>
      <c r="C36" s="429"/>
      <c r="D36" s="475" t="s">
        <v>908</v>
      </c>
      <c r="E36" s="369"/>
      <c r="F36" s="516"/>
      <c r="G36" s="430"/>
      <c r="H36" s="430"/>
      <c r="I36" s="430"/>
      <c r="J36" s="481"/>
      <c r="K36" s="482"/>
    </row>
    <row r="37" spans="2:11" s="85" customFormat="1" ht="12" customHeight="1" x14ac:dyDescent="0.2">
      <c r="B37" s="442" t="s">
        <v>419</v>
      </c>
      <c r="C37" s="432"/>
      <c r="D37" s="492" t="s">
        <v>909</v>
      </c>
      <c r="E37" s="487" t="s">
        <v>853</v>
      </c>
      <c r="F37" s="372">
        <v>1800</v>
      </c>
      <c r="G37" s="433"/>
      <c r="H37" s="433"/>
      <c r="I37" s="433"/>
      <c r="J37" s="488"/>
      <c r="K37" s="489"/>
    </row>
    <row r="38" spans="2:11" s="77" customFormat="1" ht="12" customHeight="1" x14ac:dyDescent="0.25">
      <c r="B38" s="441" t="s">
        <v>913</v>
      </c>
      <c r="C38" s="429"/>
      <c r="D38" s="475" t="s">
        <v>910</v>
      </c>
      <c r="E38" s="369"/>
      <c r="F38" s="291"/>
      <c r="G38" s="496"/>
      <c r="H38" s="431"/>
      <c r="I38" s="431"/>
      <c r="J38" s="431"/>
      <c r="K38" s="431"/>
    </row>
    <row r="39" spans="2:11" s="77" customFormat="1" ht="12" customHeight="1" x14ac:dyDescent="0.25">
      <c r="B39" s="442" t="s">
        <v>914</v>
      </c>
      <c r="C39" s="432"/>
      <c r="D39" s="492" t="s">
        <v>911</v>
      </c>
      <c r="E39" s="370" t="s">
        <v>206</v>
      </c>
      <c r="F39" s="290">
        <v>4</v>
      </c>
      <c r="G39" s="524"/>
      <c r="H39" s="480"/>
      <c r="I39" s="480"/>
      <c r="J39" s="480"/>
      <c r="K39" s="480"/>
    </row>
    <row r="40" spans="2:11" s="84" customFormat="1" ht="12" customHeight="1" x14ac:dyDescent="0.25">
      <c r="B40" s="441" t="s">
        <v>915</v>
      </c>
      <c r="C40" s="423" t="s">
        <v>868</v>
      </c>
      <c r="D40" s="521" t="s">
        <v>943</v>
      </c>
      <c r="E40" s="522"/>
      <c r="F40" s="523"/>
      <c r="G40" s="493"/>
      <c r="H40" s="497"/>
      <c r="I40" s="498"/>
      <c r="J40" s="481"/>
      <c r="K40" s="482"/>
    </row>
    <row r="41" spans="2:11" s="84" customFormat="1" ht="12" customHeight="1" x14ac:dyDescent="0.2">
      <c r="B41" s="442" t="s">
        <v>916</v>
      </c>
      <c r="C41" s="443" t="s">
        <v>1034</v>
      </c>
      <c r="D41" s="492" t="s">
        <v>944</v>
      </c>
      <c r="E41" s="487" t="s">
        <v>204</v>
      </c>
      <c r="F41" s="372">
        <v>130</v>
      </c>
      <c r="G41" s="370" t="s">
        <v>80</v>
      </c>
      <c r="H41" s="370"/>
      <c r="I41" s="370" t="s">
        <v>80</v>
      </c>
      <c r="J41" s="488"/>
      <c r="K41" s="489"/>
    </row>
    <row r="42" spans="2:11" s="84" customFormat="1" ht="12" customHeight="1" x14ac:dyDescent="0.25">
      <c r="B42" s="289"/>
      <c r="C42" s="93"/>
      <c r="D42" s="355"/>
      <c r="E42" s="291"/>
      <c r="F42" s="357"/>
      <c r="G42" s="86"/>
      <c r="H42" s="87"/>
      <c r="I42" s="87"/>
      <c r="J42" s="87"/>
      <c r="K42" s="87"/>
    </row>
    <row r="43" spans="2:11" s="84" customFormat="1" ht="12" customHeight="1" x14ac:dyDescent="0.25">
      <c r="B43" s="292"/>
      <c r="C43" s="96"/>
      <c r="D43" s="359" t="s">
        <v>184</v>
      </c>
      <c r="E43" s="290"/>
      <c r="F43" s="354"/>
      <c r="G43" s="72"/>
      <c r="H43" s="78"/>
      <c r="I43" s="78"/>
      <c r="J43" s="78"/>
      <c r="K43" s="78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9055118110236227" right="0" top="0.51181102362204722" bottom="0" header="0" footer="0"/>
  <pageSetup paperSize="9" fitToHeight="0" orientation="landscape" horizontalDpi="4294967294" r:id="rId1"/>
  <headerFooter alignWithMargins="0"/>
  <rowBreaks count="1" manualBreakCount="1">
    <brk id="43" min="1" max="10" man="1"/>
  </rowBreaks>
  <ignoredErrors>
    <ignoredError sqref="B26:B37 B38:B41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Q43"/>
  <sheetViews>
    <sheetView view="pageBreakPreview" topLeftCell="A16" zoomScale="93" zoomScaleNormal="100" zoomScaleSheetLayoutView="93" workbookViewId="0">
      <selection activeCell="B34" sqref="B34:B41"/>
    </sheetView>
  </sheetViews>
  <sheetFormatPr defaultRowHeight="13.2" x14ac:dyDescent="0.25"/>
  <cols>
    <col min="1" max="1" width="0.88671875" customWidth="1"/>
    <col min="2" max="2" width="8" customWidth="1"/>
    <col min="3" max="3" width="12.5546875" customWidth="1"/>
    <col min="4" max="4" width="4.6640625" customWidth="1"/>
    <col min="5" max="5" width="26.44140625" customWidth="1"/>
    <col min="6" max="6" width="23.6640625" customWidth="1"/>
    <col min="7" max="7" width="3.88671875" customWidth="1"/>
    <col min="8" max="8" width="4.33203125" customWidth="1"/>
    <col min="9" max="10" width="4.109375" customWidth="1"/>
    <col min="11" max="11" width="9.88671875" customWidth="1"/>
    <col min="12" max="12" width="4.109375" customWidth="1"/>
    <col min="13" max="13" width="8.6640625" customWidth="1"/>
    <col min="14" max="14" width="10.6640625" customWidth="1"/>
    <col min="15" max="16" width="0" hidden="1" customWidth="1"/>
    <col min="17" max="17" width="10" customWidth="1"/>
  </cols>
  <sheetData>
    <row r="1" spans="1:17" x14ac:dyDescent="0.25">
      <c r="A1" s="175"/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P1" s="620"/>
      <c r="Q1" s="620"/>
    </row>
    <row r="2" spans="1:17" ht="18" x14ac:dyDescent="0.35">
      <c r="A2" s="175"/>
      <c r="B2" s="657" t="str">
        <f>'Cover sht'!B2:G2</f>
        <v xml:space="preserve">Dimbaza 66/11kV Substation Refurbishment </v>
      </c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  <c r="Q2" s="659"/>
    </row>
    <row r="3" spans="1:17" x14ac:dyDescent="0.25">
      <c r="A3" s="175"/>
      <c r="B3" s="626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</row>
    <row r="4" spans="1:17" x14ac:dyDescent="0.25">
      <c r="A4" s="9"/>
      <c r="B4" s="644" t="s">
        <v>195</v>
      </c>
      <c r="C4" s="644" t="s">
        <v>422</v>
      </c>
      <c r="D4" s="644" t="s">
        <v>248</v>
      </c>
      <c r="E4" s="644" t="s">
        <v>596</v>
      </c>
      <c r="F4" s="644" t="s">
        <v>597</v>
      </c>
      <c r="G4" s="661" t="s">
        <v>2</v>
      </c>
      <c r="H4" s="662"/>
      <c r="I4" s="663" t="s">
        <v>3</v>
      </c>
      <c r="J4" s="664"/>
      <c r="K4" s="644" t="s">
        <v>599</v>
      </c>
      <c r="L4" s="644" t="s">
        <v>4</v>
      </c>
      <c r="M4" s="644" t="s">
        <v>719</v>
      </c>
      <c r="N4" s="644" t="s">
        <v>218</v>
      </c>
      <c r="O4" s="170" t="s">
        <v>199</v>
      </c>
      <c r="P4" s="170" t="s">
        <v>199</v>
      </c>
      <c r="Q4" s="170" t="s">
        <v>221</v>
      </c>
    </row>
    <row r="5" spans="1:17" x14ac:dyDescent="0.25">
      <c r="A5" s="9"/>
      <c r="B5" s="660"/>
      <c r="C5" s="645"/>
      <c r="D5" s="645"/>
      <c r="E5" s="645"/>
      <c r="F5" s="645"/>
      <c r="G5" s="303" t="s">
        <v>205</v>
      </c>
      <c r="H5" s="303" t="s">
        <v>598</v>
      </c>
      <c r="I5" s="303" t="s">
        <v>205</v>
      </c>
      <c r="J5" s="303" t="s">
        <v>598</v>
      </c>
      <c r="K5" s="665"/>
      <c r="L5" s="660"/>
      <c r="M5" s="660"/>
      <c r="N5" s="660"/>
      <c r="O5" s="171" t="s">
        <v>219</v>
      </c>
      <c r="P5" s="171" t="s">
        <v>218</v>
      </c>
      <c r="Q5" s="171" t="s">
        <v>222</v>
      </c>
    </row>
    <row r="6" spans="1:17" x14ac:dyDescent="0.25">
      <c r="A6" s="132"/>
      <c r="B6" s="666"/>
      <c r="C6" s="667"/>
      <c r="D6" s="667"/>
      <c r="E6" s="667"/>
      <c r="F6" s="667"/>
      <c r="G6" s="667"/>
      <c r="H6" s="667"/>
      <c r="I6" s="667"/>
      <c r="J6" s="667"/>
      <c r="K6" s="667"/>
      <c r="L6" s="667"/>
      <c r="M6" s="667"/>
      <c r="N6" s="667"/>
      <c r="O6" s="667"/>
      <c r="P6" s="667"/>
      <c r="Q6" s="668"/>
    </row>
    <row r="7" spans="1:17" ht="13.8" x14ac:dyDescent="0.25">
      <c r="A7" s="176"/>
      <c r="B7" s="172" t="s">
        <v>609</v>
      </c>
      <c r="C7" s="654" t="s">
        <v>720</v>
      </c>
      <c r="D7" s="655"/>
      <c r="E7" s="655"/>
      <c r="F7" s="655"/>
      <c r="G7" s="655"/>
      <c r="H7" s="655"/>
      <c r="I7" s="655"/>
      <c r="J7" s="655"/>
      <c r="K7" s="655"/>
      <c r="L7" s="655"/>
      <c r="M7" s="655"/>
      <c r="N7" s="655"/>
      <c r="O7" s="655"/>
      <c r="P7" s="655"/>
      <c r="Q7" s="656"/>
    </row>
    <row r="8" spans="1:17" x14ac:dyDescent="0.25">
      <c r="A8" s="177"/>
      <c r="B8" s="285">
        <v>5.0999999999999996</v>
      </c>
      <c r="C8" s="319" t="s">
        <v>1155</v>
      </c>
      <c r="D8" s="334"/>
      <c r="E8" s="333"/>
      <c r="F8" s="286"/>
      <c r="G8" s="286"/>
      <c r="H8" s="286"/>
      <c r="I8" s="286"/>
      <c r="J8" s="286"/>
      <c r="K8" s="286"/>
      <c r="L8" s="297"/>
      <c r="M8" s="100"/>
      <c r="N8" s="100"/>
      <c r="O8" s="95"/>
      <c r="P8" s="95"/>
      <c r="Q8" s="95"/>
    </row>
    <row r="9" spans="1:17" x14ac:dyDescent="0.25">
      <c r="A9" s="177"/>
      <c r="B9" s="299" t="s">
        <v>5</v>
      </c>
      <c r="C9" s="353" t="s">
        <v>798</v>
      </c>
      <c r="D9" s="335">
        <v>0</v>
      </c>
      <c r="E9" s="301" t="s">
        <v>721</v>
      </c>
      <c r="F9" s="301" t="s">
        <v>725</v>
      </c>
      <c r="G9" s="304"/>
      <c r="H9" s="305" t="s">
        <v>600</v>
      </c>
      <c r="I9" s="304"/>
      <c r="J9" s="305" t="s">
        <v>600</v>
      </c>
      <c r="K9" s="304"/>
      <c r="L9" s="153">
        <v>2</v>
      </c>
      <c r="M9" s="153"/>
      <c r="N9" s="99"/>
      <c r="O9" s="112"/>
      <c r="P9" s="112"/>
      <c r="Q9" s="112"/>
    </row>
    <row r="10" spans="1:17" x14ac:dyDescent="0.25">
      <c r="A10" s="177"/>
      <c r="B10" s="285">
        <v>5.2</v>
      </c>
      <c r="C10" s="306"/>
      <c r="D10" s="306"/>
      <c r="E10" s="333"/>
      <c r="F10" s="286"/>
      <c r="G10" s="286"/>
      <c r="H10" s="286"/>
      <c r="I10" s="286"/>
      <c r="J10" s="286"/>
      <c r="K10" s="286"/>
      <c r="L10" s="152"/>
      <c r="M10" s="152"/>
      <c r="N10" s="100"/>
      <c r="O10" s="95"/>
      <c r="P10" s="95"/>
      <c r="Q10" s="95"/>
    </row>
    <row r="11" spans="1:17" x14ac:dyDescent="0.25">
      <c r="A11" s="177"/>
      <c r="B11" s="288" t="s">
        <v>6</v>
      </c>
      <c r="C11" s="307"/>
      <c r="D11" s="307"/>
      <c r="E11" s="301" t="s">
        <v>722</v>
      </c>
      <c r="F11" s="301" t="s">
        <v>731</v>
      </c>
      <c r="G11" s="305" t="s">
        <v>600</v>
      </c>
      <c r="H11" s="305"/>
      <c r="I11" s="305" t="s">
        <v>600</v>
      </c>
      <c r="J11" s="305"/>
      <c r="K11" s="304" t="s">
        <v>601</v>
      </c>
      <c r="L11" s="153">
        <v>1</v>
      </c>
      <c r="M11" s="153"/>
      <c r="N11" s="99"/>
      <c r="O11" s="112"/>
      <c r="P11" s="112"/>
      <c r="Q11" s="112"/>
    </row>
    <row r="12" spans="1:17" x14ac:dyDescent="0.25">
      <c r="A12" s="177"/>
      <c r="B12" s="289">
        <v>5.3</v>
      </c>
      <c r="C12" s="306"/>
      <c r="D12" s="306"/>
      <c r="E12" s="333"/>
      <c r="F12" s="286"/>
      <c r="G12" s="286"/>
      <c r="H12" s="356"/>
      <c r="I12" s="286"/>
      <c r="J12" s="356"/>
      <c r="K12" s="306"/>
      <c r="L12" s="152"/>
      <c r="M12" s="152"/>
      <c r="N12" s="100"/>
      <c r="O12" s="111"/>
      <c r="P12" s="111"/>
      <c r="Q12" s="111"/>
    </row>
    <row r="13" spans="1:17" x14ac:dyDescent="0.25">
      <c r="A13" s="177"/>
      <c r="B13" s="316" t="s">
        <v>7</v>
      </c>
      <c r="C13" s="307"/>
      <c r="D13" s="307"/>
      <c r="E13" s="301" t="s">
        <v>727</v>
      </c>
      <c r="F13" s="301" t="s">
        <v>731</v>
      </c>
      <c r="G13" s="305" t="s">
        <v>600</v>
      </c>
      <c r="H13" s="305"/>
      <c r="I13" s="305" t="s">
        <v>600</v>
      </c>
      <c r="J13" s="305"/>
      <c r="K13" s="304" t="s">
        <v>601</v>
      </c>
      <c r="L13" s="153">
        <v>1</v>
      </c>
      <c r="M13" s="153"/>
      <c r="N13" s="99"/>
      <c r="O13" s="112"/>
      <c r="P13" s="112"/>
      <c r="Q13" s="112"/>
    </row>
    <row r="14" spans="1:17" x14ac:dyDescent="0.25">
      <c r="A14" s="177"/>
      <c r="B14" s="289">
        <v>5.4</v>
      </c>
      <c r="C14" s="306"/>
      <c r="D14" s="306"/>
      <c r="E14" s="333"/>
      <c r="F14" s="286"/>
      <c r="G14" s="286"/>
      <c r="H14" s="286"/>
      <c r="I14" s="286"/>
      <c r="J14" s="286"/>
      <c r="K14" s="286"/>
      <c r="L14" s="297"/>
      <c r="M14" s="152"/>
      <c r="N14" s="100"/>
      <c r="O14" s="95"/>
      <c r="P14" s="95"/>
      <c r="Q14" s="95"/>
    </row>
    <row r="15" spans="1:17" x14ac:dyDescent="0.25">
      <c r="A15" s="177"/>
      <c r="B15" s="288" t="s">
        <v>8</v>
      </c>
      <c r="C15" s="307"/>
      <c r="D15" s="307"/>
      <c r="E15" s="301" t="s">
        <v>726</v>
      </c>
      <c r="F15" s="301" t="s">
        <v>728</v>
      </c>
      <c r="G15" s="305"/>
      <c r="H15" s="305" t="s">
        <v>600</v>
      </c>
      <c r="I15" s="305"/>
      <c r="J15" s="305" t="s">
        <v>600</v>
      </c>
      <c r="K15" s="304" t="s">
        <v>601</v>
      </c>
      <c r="L15" s="153">
        <v>1</v>
      </c>
      <c r="M15" s="153"/>
      <c r="N15" s="99"/>
      <c r="O15" s="112"/>
      <c r="P15" s="112"/>
      <c r="Q15" s="112"/>
    </row>
    <row r="16" spans="1:17" x14ac:dyDescent="0.25">
      <c r="A16" s="177"/>
      <c r="B16" s="289">
        <v>5.5</v>
      </c>
      <c r="C16" s="306"/>
      <c r="D16" s="306"/>
      <c r="E16" s="333"/>
      <c r="F16" s="286"/>
      <c r="G16" s="286"/>
      <c r="H16" s="286"/>
      <c r="I16" s="286"/>
      <c r="J16" s="286"/>
      <c r="K16" s="286"/>
      <c r="L16" s="297"/>
      <c r="M16" s="152"/>
      <c r="N16" s="100"/>
      <c r="O16" s="95"/>
      <c r="P16" s="95"/>
      <c r="Q16" s="95"/>
    </row>
    <row r="17" spans="1:17" x14ac:dyDescent="0.25">
      <c r="A17" s="177"/>
      <c r="B17" s="288" t="s">
        <v>9</v>
      </c>
      <c r="C17" s="307"/>
      <c r="D17" s="307"/>
      <c r="E17" s="301" t="s">
        <v>722</v>
      </c>
      <c r="F17" s="301" t="s">
        <v>728</v>
      </c>
      <c r="G17" s="305"/>
      <c r="H17" s="305" t="s">
        <v>600</v>
      </c>
      <c r="I17" s="305"/>
      <c r="J17" s="305" t="s">
        <v>600</v>
      </c>
      <c r="K17" s="304" t="s">
        <v>601</v>
      </c>
      <c r="L17" s="153">
        <v>1</v>
      </c>
      <c r="M17" s="153"/>
      <c r="N17" s="99"/>
      <c r="O17" s="112"/>
      <c r="P17" s="112"/>
      <c r="Q17" s="112"/>
    </row>
    <row r="18" spans="1:17" x14ac:dyDescent="0.25">
      <c r="A18" s="177"/>
      <c r="B18" s="285">
        <v>5.6</v>
      </c>
      <c r="C18" s="286"/>
      <c r="D18" s="286"/>
      <c r="E18" s="333"/>
      <c r="F18" s="333"/>
      <c r="G18" s="356"/>
      <c r="H18" s="356"/>
      <c r="I18" s="286"/>
      <c r="J18" s="356"/>
      <c r="K18" s="286"/>
      <c r="L18" s="152"/>
      <c r="M18" s="152"/>
      <c r="N18" s="100"/>
      <c r="O18" s="95"/>
      <c r="P18" s="95"/>
      <c r="Q18" s="95"/>
    </row>
    <row r="19" spans="1:17" x14ac:dyDescent="0.25">
      <c r="A19" s="177"/>
      <c r="B19" s="315" t="s">
        <v>10</v>
      </c>
      <c r="C19" s="287"/>
      <c r="D19" s="377"/>
      <c r="E19" s="301" t="s">
        <v>727</v>
      </c>
      <c r="F19" s="301" t="s">
        <v>732</v>
      </c>
      <c r="G19" s="305"/>
      <c r="H19" s="305" t="s">
        <v>600</v>
      </c>
      <c r="I19" s="305"/>
      <c r="J19" s="305" t="s">
        <v>600</v>
      </c>
      <c r="K19" s="304" t="s">
        <v>601</v>
      </c>
      <c r="L19" s="153">
        <v>1</v>
      </c>
      <c r="M19" s="153"/>
      <c r="N19" s="99"/>
      <c r="O19" s="112"/>
      <c r="P19" s="112"/>
      <c r="Q19" s="112"/>
    </row>
    <row r="20" spans="1:17" x14ac:dyDescent="0.25">
      <c r="A20" s="177"/>
      <c r="B20" s="285">
        <v>5.7</v>
      </c>
      <c r="C20" s="286"/>
      <c r="D20" s="286"/>
      <c r="E20" s="333"/>
      <c r="F20" s="286"/>
      <c r="G20" s="286"/>
      <c r="H20" s="286"/>
      <c r="I20" s="286"/>
      <c r="J20" s="286"/>
      <c r="K20" s="286"/>
      <c r="L20" s="297"/>
      <c r="M20" s="152"/>
      <c r="N20" s="100"/>
      <c r="O20" s="95"/>
      <c r="P20" s="95"/>
      <c r="Q20" s="95"/>
    </row>
    <row r="21" spans="1:17" x14ac:dyDescent="0.25">
      <c r="A21" s="177"/>
      <c r="B21" s="315" t="s">
        <v>11</v>
      </c>
      <c r="C21" s="287"/>
      <c r="D21" s="377"/>
      <c r="E21" s="301" t="s">
        <v>722</v>
      </c>
      <c r="F21" s="301" t="s">
        <v>728</v>
      </c>
      <c r="G21" s="305"/>
      <c r="H21" s="305" t="s">
        <v>600</v>
      </c>
      <c r="I21" s="305"/>
      <c r="J21" s="305" t="s">
        <v>600</v>
      </c>
      <c r="K21" s="304" t="s">
        <v>601</v>
      </c>
      <c r="L21" s="153">
        <v>1</v>
      </c>
      <c r="M21" s="153"/>
      <c r="N21" s="99"/>
      <c r="O21" s="112"/>
      <c r="P21" s="112"/>
      <c r="Q21" s="112"/>
    </row>
    <row r="22" spans="1:17" x14ac:dyDescent="0.25">
      <c r="A22" s="177"/>
      <c r="B22" s="285">
        <v>5.8</v>
      </c>
      <c r="C22" s="286"/>
      <c r="D22" s="286"/>
      <c r="E22" s="333"/>
      <c r="F22" s="333"/>
      <c r="G22" s="356"/>
      <c r="H22" s="356"/>
      <c r="I22" s="286"/>
      <c r="J22" s="356"/>
      <c r="K22" s="286"/>
      <c r="L22" s="152"/>
      <c r="M22" s="100"/>
      <c r="N22" s="100"/>
      <c r="O22" s="95"/>
      <c r="P22" s="95"/>
      <c r="Q22" s="95"/>
    </row>
    <row r="23" spans="1:17" x14ac:dyDescent="0.25">
      <c r="A23" s="177"/>
      <c r="B23" s="316" t="s">
        <v>12</v>
      </c>
      <c r="C23" s="287"/>
      <c r="D23" s="377"/>
      <c r="E23" s="301" t="s">
        <v>727</v>
      </c>
      <c r="F23" s="301" t="s">
        <v>732</v>
      </c>
      <c r="G23" s="305"/>
      <c r="H23" s="305" t="s">
        <v>600</v>
      </c>
      <c r="I23" s="305"/>
      <c r="J23" s="305" t="s">
        <v>600</v>
      </c>
      <c r="K23" s="304" t="s">
        <v>601</v>
      </c>
      <c r="L23" s="153">
        <v>1</v>
      </c>
      <c r="M23" s="99"/>
      <c r="N23" s="99"/>
      <c r="O23" s="112"/>
      <c r="P23" s="112"/>
      <c r="Q23" s="112"/>
    </row>
    <row r="24" spans="1:17" x14ac:dyDescent="0.25">
      <c r="A24" s="177"/>
      <c r="B24" s="289">
        <v>5.9</v>
      </c>
      <c r="C24" s="331"/>
      <c r="D24" s="331"/>
      <c r="E24" s="286"/>
      <c r="F24" s="286"/>
      <c r="G24" s="317"/>
      <c r="H24" s="356"/>
      <c r="I24" s="286"/>
      <c r="J24" s="356"/>
      <c r="K24" s="286"/>
      <c r="L24" s="291"/>
      <c r="M24" s="152"/>
      <c r="N24" s="100"/>
      <c r="O24" s="95"/>
      <c r="P24" s="95"/>
      <c r="Q24" s="95"/>
    </row>
    <row r="25" spans="1:17" x14ac:dyDescent="0.25">
      <c r="A25" s="177"/>
      <c r="B25" s="288" t="s">
        <v>13</v>
      </c>
      <c r="C25" s="378"/>
      <c r="D25" s="378"/>
      <c r="E25" s="301" t="s">
        <v>724</v>
      </c>
      <c r="F25" s="301" t="s">
        <v>730</v>
      </c>
      <c r="G25" s="304"/>
      <c r="H25" s="305" t="s">
        <v>600</v>
      </c>
      <c r="I25" s="305"/>
      <c r="J25" s="305" t="s">
        <v>600</v>
      </c>
      <c r="K25" s="304" t="s">
        <v>601</v>
      </c>
      <c r="L25" s="153">
        <v>2</v>
      </c>
      <c r="M25" s="153"/>
      <c r="N25" s="99"/>
      <c r="O25" s="112"/>
      <c r="P25" s="112"/>
      <c r="Q25" s="112"/>
    </row>
    <row r="26" spans="1:17" x14ac:dyDescent="0.25">
      <c r="A26" s="177"/>
      <c r="B26" s="289" t="s">
        <v>14</v>
      </c>
      <c r="C26" s="331"/>
      <c r="D26" s="331"/>
      <c r="E26" s="333"/>
      <c r="F26" s="286"/>
      <c r="G26" s="286"/>
      <c r="H26" s="286"/>
      <c r="I26" s="286"/>
      <c r="J26" s="286"/>
      <c r="K26" s="286"/>
      <c r="L26" s="152"/>
      <c r="M26" s="152"/>
      <c r="N26" s="100"/>
      <c r="O26" s="95"/>
      <c r="P26" s="95"/>
      <c r="Q26" s="95"/>
    </row>
    <row r="27" spans="1:17" x14ac:dyDescent="0.25">
      <c r="A27" s="177"/>
      <c r="B27" s="288" t="s">
        <v>15</v>
      </c>
      <c r="C27" s="378"/>
      <c r="D27" s="378"/>
      <c r="E27" s="301" t="s">
        <v>727</v>
      </c>
      <c r="F27" s="301" t="s">
        <v>730</v>
      </c>
      <c r="G27" s="304"/>
      <c r="H27" s="305" t="s">
        <v>600</v>
      </c>
      <c r="I27" s="305"/>
      <c r="J27" s="305" t="s">
        <v>600</v>
      </c>
      <c r="K27" s="304" t="s">
        <v>601</v>
      </c>
      <c r="L27" s="153">
        <v>2</v>
      </c>
      <c r="M27" s="153"/>
      <c r="N27" s="99"/>
      <c r="O27" s="112"/>
      <c r="P27" s="112"/>
      <c r="Q27" s="112"/>
    </row>
    <row r="28" spans="1:17" x14ac:dyDescent="0.25">
      <c r="A28" s="177"/>
      <c r="B28" s="289">
        <v>5.1100000000000003</v>
      </c>
      <c r="C28" s="331"/>
      <c r="D28" s="331"/>
      <c r="E28" s="333"/>
      <c r="F28" s="286"/>
      <c r="G28" s="286"/>
      <c r="H28" s="286"/>
      <c r="I28" s="286"/>
      <c r="J28" s="286"/>
      <c r="K28" s="286"/>
      <c r="L28" s="152"/>
      <c r="M28" s="152"/>
      <c r="N28" s="100"/>
      <c r="O28" s="95"/>
      <c r="P28" s="95"/>
      <c r="Q28" s="95"/>
    </row>
    <row r="29" spans="1:17" x14ac:dyDescent="0.25">
      <c r="A29" s="177"/>
      <c r="B29" s="288" t="s">
        <v>16</v>
      </c>
      <c r="C29" s="378"/>
      <c r="D29" s="378"/>
      <c r="E29" s="301" t="s">
        <v>705</v>
      </c>
      <c r="F29" s="301"/>
      <c r="G29" s="304"/>
      <c r="H29" s="573" t="s">
        <v>1156</v>
      </c>
      <c r="I29" s="305"/>
      <c r="J29" s="573" t="s">
        <v>1156</v>
      </c>
      <c r="K29" s="304" t="s">
        <v>601</v>
      </c>
      <c r="L29" s="153">
        <v>2</v>
      </c>
      <c r="M29" s="153"/>
      <c r="N29" s="99"/>
      <c r="O29" s="112"/>
      <c r="P29" s="112"/>
      <c r="Q29" s="112"/>
    </row>
    <row r="30" spans="1:17" x14ac:dyDescent="0.25">
      <c r="A30" s="177"/>
      <c r="B30" s="289">
        <v>5.12</v>
      </c>
      <c r="C30" s="331"/>
      <c r="D30" s="331"/>
      <c r="E30" s="333"/>
      <c r="F30" s="333"/>
      <c r="G30" s="286"/>
      <c r="H30" s="286"/>
      <c r="I30" s="286"/>
      <c r="J30" s="286"/>
      <c r="K30" s="286"/>
      <c r="L30" s="297"/>
      <c r="M30" s="152"/>
      <c r="N30" s="100"/>
      <c r="O30" s="95"/>
      <c r="P30" s="95"/>
      <c r="Q30" s="95"/>
    </row>
    <row r="31" spans="1:17" x14ac:dyDescent="0.25">
      <c r="A31" s="177"/>
      <c r="B31" s="288" t="s">
        <v>17</v>
      </c>
      <c r="C31" s="378"/>
      <c r="D31" s="378"/>
      <c r="E31" s="301" t="s">
        <v>706</v>
      </c>
      <c r="F31" s="301"/>
      <c r="G31" s="305"/>
      <c r="H31" s="305" t="s">
        <v>600</v>
      </c>
      <c r="I31" s="305"/>
      <c r="J31" s="305" t="s">
        <v>600</v>
      </c>
      <c r="K31" s="304" t="s">
        <v>602</v>
      </c>
      <c r="L31" s="153">
        <v>2</v>
      </c>
      <c r="M31" s="153"/>
      <c r="N31" s="99"/>
      <c r="O31" s="112"/>
      <c r="P31" s="112"/>
      <c r="Q31" s="112"/>
    </row>
    <row r="32" spans="1:17" x14ac:dyDescent="0.25">
      <c r="A32" s="177"/>
      <c r="B32" s="289">
        <v>5.13</v>
      </c>
      <c r="C32" s="306"/>
      <c r="D32" s="306"/>
      <c r="E32" s="333"/>
      <c r="F32" s="333"/>
      <c r="G32" s="286"/>
      <c r="H32" s="286"/>
      <c r="I32" s="286"/>
      <c r="J32" s="286"/>
      <c r="K32" s="286"/>
      <c r="L32" s="152"/>
      <c r="M32" s="152"/>
      <c r="N32" s="100"/>
      <c r="O32" s="95"/>
      <c r="P32" s="95"/>
      <c r="Q32" s="95"/>
    </row>
    <row r="33" spans="1:17" x14ac:dyDescent="0.25">
      <c r="A33" s="177"/>
      <c r="B33" s="288" t="s">
        <v>723</v>
      </c>
      <c r="C33" s="307"/>
      <c r="D33" s="307"/>
      <c r="E33" s="301" t="s">
        <v>729</v>
      </c>
      <c r="F33" s="301"/>
      <c r="G33" s="301"/>
      <c r="H33" s="305" t="s">
        <v>600</v>
      </c>
      <c r="I33" s="305"/>
      <c r="J33" s="305" t="s">
        <v>600</v>
      </c>
      <c r="K33" s="304" t="s">
        <v>602</v>
      </c>
      <c r="L33" s="153">
        <v>2</v>
      </c>
      <c r="M33" s="153"/>
      <c r="N33" s="99"/>
      <c r="O33" s="112"/>
      <c r="P33" s="112"/>
      <c r="Q33" s="112"/>
    </row>
    <row r="34" spans="1:17" x14ac:dyDescent="0.25">
      <c r="A34" s="177"/>
      <c r="B34" s="289"/>
      <c r="C34" s="306"/>
      <c r="D34" s="306"/>
      <c r="E34" s="333"/>
      <c r="F34" s="333"/>
      <c r="G34" s="356"/>
      <c r="H34" s="356"/>
      <c r="I34" s="286"/>
      <c r="J34" s="356"/>
      <c r="K34" s="286"/>
      <c r="L34" s="152"/>
      <c r="M34" s="152"/>
      <c r="N34" s="100"/>
      <c r="O34" s="111"/>
      <c r="P34" s="111"/>
      <c r="Q34" s="111"/>
    </row>
    <row r="35" spans="1:17" x14ac:dyDescent="0.25">
      <c r="A35" s="177"/>
      <c r="B35" s="288"/>
      <c r="C35" s="307"/>
      <c r="D35" s="307"/>
      <c r="E35" s="301"/>
      <c r="F35" s="301"/>
      <c r="G35" s="305"/>
      <c r="H35" s="305"/>
      <c r="I35" s="305"/>
      <c r="J35" s="305"/>
      <c r="K35" s="304"/>
      <c r="L35" s="153"/>
      <c r="M35" s="153"/>
      <c r="N35" s="99"/>
      <c r="O35" s="112"/>
      <c r="P35" s="112"/>
      <c r="Q35" s="112"/>
    </row>
    <row r="36" spans="1:17" x14ac:dyDescent="0.25">
      <c r="A36" s="177"/>
      <c r="B36" s="285"/>
      <c r="C36" s="306"/>
      <c r="D36" s="306"/>
      <c r="E36" s="333"/>
      <c r="F36" s="286"/>
      <c r="G36" s="286"/>
      <c r="H36" s="286"/>
      <c r="I36" s="286"/>
      <c r="J36" s="286"/>
      <c r="K36" s="286"/>
      <c r="L36" s="297"/>
      <c r="M36" s="152"/>
      <c r="N36" s="100"/>
      <c r="O36" s="95"/>
      <c r="P36" s="95"/>
      <c r="Q36" s="95"/>
    </row>
    <row r="37" spans="1:17" x14ac:dyDescent="0.25">
      <c r="A37" s="177"/>
      <c r="B37" s="288"/>
      <c r="C37" s="307"/>
      <c r="D37" s="307"/>
      <c r="E37" s="301"/>
      <c r="F37" s="301"/>
      <c r="G37" s="305"/>
      <c r="H37" s="305"/>
      <c r="I37" s="305"/>
      <c r="J37" s="305"/>
      <c r="K37" s="304"/>
      <c r="L37" s="153"/>
      <c r="M37" s="153"/>
      <c r="N37" s="99"/>
      <c r="O37" s="112"/>
      <c r="P37" s="112"/>
      <c r="Q37" s="112"/>
    </row>
    <row r="38" spans="1:17" x14ac:dyDescent="0.25">
      <c r="A38" s="177"/>
      <c r="B38" s="289"/>
      <c r="C38" s="306"/>
      <c r="D38" s="306"/>
      <c r="E38" s="333"/>
      <c r="F38" s="333"/>
      <c r="G38" s="356"/>
      <c r="H38" s="356"/>
      <c r="I38" s="286"/>
      <c r="J38" s="356"/>
      <c r="K38" s="286"/>
      <c r="L38" s="152"/>
      <c r="M38" s="152"/>
      <c r="N38" s="100"/>
      <c r="O38" s="95"/>
      <c r="P38" s="95"/>
      <c r="Q38" s="95"/>
    </row>
    <row r="39" spans="1:17" x14ac:dyDescent="0.25">
      <c r="A39" s="177"/>
      <c r="B39" s="288"/>
      <c r="C39" s="307"/>
      <c r="D39" s="307"/>
      <c r="E39" s="301"/>
      <c r="F39" s="301"/>
      <c r="G39" s="305"/>
      <c r="H39" s="305"/>
      <c r="I39" s="305"/>
      <c r="J39" s="305"/>
      <c r="K39" s="304"/>
      <c r="L39" s="153"/>
      <c r="M39" s="153"/>
      <c r="N39" s="99"/>
      <c r="O39" s="112"/>
      <c r="P39" s="112"/>
      <c r="Q39" s="112"/>
    </row>
    <row r="40" spans="1:17" x14ac:dyDescent="0.25">
      <c r="A40" s="177"/>
      <c r="B40" s="289"/>
      <c r="C40" s="306"/>
      <c r="D40" s="306"/>
      <c r="E40" s="333"/>
      <c r="F40" s="286"/>
      <c r="G40" s="286"/>
      <c r="H40" s="286"/>
      <c r="I40" s="286"/>
      <c r="J40" s="286"/>
      <c r="K40" s="286"/>
      <c r="L40" s="152"/>
      <c r="M40" s="152"/>
      <c r="N40" s="100"/>
      <c r="O40" s="95"/>
      <c r="P40" s="95"/>
      <c r="Q40" s="95"/>
    </row>
    <row r="41" spans="1:17" x14ac:dyDescent="0.25">
      <c r="A41" s="177"/>
      <c r="B41" s="288"/>
      <c r="C41" s="307"/>
      <c r="D41" s="307"/>
      <c r="E41" s="301"/>
      <c r="F41" s="301"/>
      <c r="G41" s="304"/>
      <c r="H41" s="305"/>
      <c r="I41" s="305"/>
      <c r="J41" s="305"/>
      <c r="K41" s="304"/>
      <c r="L41" s="153"/>
      <c r="M41" s="153"/>
      <c r="N41" s="99"/>
      <c r="O41" s="112"/>
      <c r="P41" s="112"/>
      <c r="Q41" s="112"/>
    </row>
    <row r="42" spans="1:17" x14ac:dyDescent="0.25">
      <c r="A42" s="177"/>
      <c r="B42" s="103"/>
      <c r="C42" s="101"/>
      <c r="D42" s="101"/>
      <c r="E42" s="101"/>
      <c r="F42" s="101"/>
      <c r="G42" s="173"/>
      <c r="H42" s="173"/>
      <c r="I42" s="173"/>
      <c r="J42" s="173"/>
      <c r="K42" s="101"/>
      <c r="L42" s="95"/>
      <c r="M42" s="100"/>
      <c r="N42" s="100"/>
      <c r="O42" s="95"/>
      <c r="P42" s="95"/>
      <c r="Q42" s="95"/>
    </row>
    <row r="43" spans="1:17" x14ac:dyDescent="0.25">
      <c r="A43" s="177"/>
      <c r="B43" s="96"/>
      <c r="C43" s="102"/>
      <c r="D43" s="102"/>
      <c r="E43" s="102"/>
      <c r="F43" s="110"/>
      <c r="G43" s="174"/>
      <c r="H43" s="174"/>
      <c r="I43" s="174"/>
      <c r="J43" s="174"/>
      <c r="K43" s="102"/>
      <c r="L43" s="98"/>
      <c r="M43" s="99"/>
      <c r="N43" s="114"/>
      <c r="O43" s="112"/>
      <c r="P43" s="112"/>
      <c r="Q43" s="112"/>
    </row>
  </sheetData>
  <mergeCells count="16">
    <mergeCell ref="C7:Q7"/>
    <mergeCell ref="B1:Q1"/>
    <mergeCell ref="B2:Q2"/>
    <mergeCell ref="B3:Q3"/>
    <mergeCell ref="B4:B5"/>
    <mergeCell ref="C4:C5"/>
    <mergeCell ref="D4:D5"/>
    <mergeCell ref="E4:E5"/>
    <mergeCell ref="F4:F5"/>
    <mergeCell ref="G4:H4"/>
    <mergeCell ref="I4:J4"/>
    <mergeCell ref="K4:K5"/>
    <mergeCell ref="L4:L5"/>
    <mergeCell ref="M4:M5"/>
    <mergeCell ref="N4:N5"/>
    <mergeCell ref="B6:Q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2" r:id="rId1"/>
  <ignoredErrors>
    <ignoredError sqref="B26:B2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">
    <pageSetUpPr fitToPage="1"/>
  </sheetPr>
  <dimension ref="A1:D66"/>
  <sheetViews>
    <sheetView view="pageBreakPreview" zoomScale="90" zoomScaleNormal="100" zoomScaleSheetLayoutView="90" workbookViewId="0">
      <selection activeCell="A2" sqref="A2:D2"/>
    </sheetView>
  </sheetViews>
  <sheetFormatPr defaultRowHeight="13.2" x14ac:dyDescent="0.25"/>
  <cols>
    <col min="1" max="1" width="15.6640625" customWidth="1"/>
    <col min="2" max="2" width="8.6640625" customWidth="1"/>
    <col min="3" max="3" width="58.44140625" customWidth="1"/>
    <col min="4" max="4" width="14.88671875" customWidth="1"/>
  </cols>
  <sheetData>
    <row r="1" spans="1:4" x14ac:dyDescent="0.25">
      <c r="A1" s="620"/>
      <c r="B1" s="648"/>
      <c r="C1" s="648"/>
      <c r="D1" s="648"/>
    </row>
    <row r="2" spans="1:4" ht="18" x14ac:dyDescent="0.35">
      <c r="A2" s="604" t="s">
        <v>896</v>
      </c>
      <c r="B2" s="605"/>
      <c r="C2" s="605"/>
      <c r="D2" s="606"/>
    </row>
    <row r="3" spans="1:4" ht="8.4" customHeight="1" x14ac:dyDescent="0.25">
      <c r="A3" s="675"/>
      <c r="B3" s="673"/>
      <c r="C3" s="673"/>
      <c r="D3" s="674"/>
    </row>
    <row r="4" spans="1:4" x14ac:dyDescent="0.25">
      <c r="A4" s="676" t="s">
        <v>31</v>
      </c>
      <c r="B4" s="677"/>
      <c r="C4" s="677"/>
      <c r="D4" s="678"/>
    </row>
    <row r="5" spans="1:4" x14ac:dyDescent="0.25">
      <c r="A5" s="679"/>
      <c r="B5" s="680"/>
      <c r="C5" s="680"/>
      <c r="D5" s="681"/>
    </row>
    <row r="6" spans="1:4" ht="16.2" x14ac:dyDescent="0.25">
      <c r="A6" s="669"/>
      <c r="B6" s="670"/>
      <c r="C6" s="670"/>
      <c r="D6" s="671"/>
    </row>
    <row r="7" spans="1:4" x14ac:dyDescent="0.25">
      <c r="A7" s="303" t="s">
        <v>247</v>
      </c>
      <c r="B7" s="303" t="s">
        <v>248</v>
      </c>
      <c r="C7" s="303" t="s">
        <v>413</v>
      </c>
      <c r="D7" s="303" t="s">
        <v>249</v>
      </c>
    </row>
    <row r="8" spans="1:4" ht="6.6" customHeight="1" x14ac:dyDescent="0.25">
      <c r="A8" s="672"/>
      <c r="B8" s="673"/>
      <c r="C8" s="673"/>
      <c r="D8" s="674"/>
    </row>
    <row r="9" spans="1:4" x14ac:dyDescent="0.25">
      <c r="A9" s="682" t="s">
        <v>1036</v>
      </c>
      <c r="B9" s="683"/>
      <c r="C9" s="683"/>
      <c r="D9" s="684"/>
    </row>
    <row r="10" spans="1:4" x14ac:dyDescent="0.25">
      <c r="A10" s="557" t="s">
        <v>699</v>
      </c>
      <c r="B10" s="549" t="s">
        <v>1198</v>
      </c>
      <c r="C10" s="552" t="s">
        <v>411</v>
      </c>
      <c r="D10" s="551" t="s">
        <v>205</v>
      </c>
    </row>
    <row r="11" spans="1:4" x14ac:dyDescent="0.25">
      <c r="A11" s="557" t="s">
        <v>700</v>
      </c>
      <c r="B11" s="549" t="s">
        <v>1198</v>
      </c>
      <c r="C11" s="552" t="s">
        <v>411</v>
      </c>
      <c r="D11" s="551" t="s">
        <v>205</v>
      </c>
    </row>
    <row r="12" spans="1:4" x14ac:dyDescent="0.25">
      <c r="A12" s="557" t="s">
        <v>1119</v>
      </c>
      <c r="B12" s="558">
        <v>5</v>
      </c>
      <c r="C12" s="559" t="s">
        <v>0</v>
      </c>
      <c r="D12" s="560" t="s">
        <v>205</v>
      </c>
    </row>
    <row r="13" spans="1:4" x14ac:dyDescent="0.25">
      <c r="A13" s="557" t="s">
        <v>1120</v>
      </c>
      <c r="B13" s="558">
        <v>5</v>
      </c>
      <c r="C13" s="559" t="s">
        <v>412</v>
      </c>
      <c r="D13" s="560" t="s">
        <v>205</v>
      </c>
    </row>
    <row r="14" spans="1:4" x14ac:dyDescent="0.25">
      <c r="A14" s="557" t="s">
        <v>1121</v>
      </c>
      <c r="B14" s="558">
        <v>5</v>
      </c>
      <c r="C14" s="574" t="s">
        <v>428</v>
      </c>
      <c r="D14" s="563" t="s">
        <v>205</v>
      </c>
    </row>
    <row r="15" spans="1:4" x14ac:dyDescent="0.25">
      <c r="A15" s="557" t="s">
        <v>1122</v>
      </c>
      <c r="B15" s="549">
        <v>5</v>
      </c>
      <c r="C15" s="553" t="s">
        <v>377</v>
      </c>
      <c r="D15" s="554" t="s">
        <v>205</v>
      </c>
    </row>
    <row r="16" spans="1:4" x14ac:dyDescent="0.25">
      <c r="A16" s="557" t="s">
        <v>1123</v>
      </c>
      <c r="B16" s="558">
        <v>5</v>
      </c>
      <c r="C16" s="559" t="s">
        <v>1037</v>
      </c>
      <c r="D16" s="563" t="s">
        <v>205</v>
      </c>
    </row>
    <row r="17" spans="1:4" x14ac:dyDescent="0.25">
      <c r="A17" s="557" t="s">
        <v>1124</v>
      </c>
      <c r="B17" s="558">
        <v>5</v>
      </c>
      <c r="C17" s="559" t="s">
        <v>378</v>
      </c>
      <c r="D17" s="563" t="s">
        <v>205</v>
      </c>
    </row>
    <row r="18" spans="1:4" x14ac:dyDescent="0.25">
      <c r="A18" s="557" t="s">
        <v>701</v>
      </c>
      <c r="B18" s="558">
        <v>5</v>
      </c>
      <c r="C18" s="559" t="s">
        <v>1038</v>
      </c>
      <c r="D18" s="560" t="s">
        <v>205</v>
      </c>
    </row>
    <row r="19" spans="1:4" x14ac:dyDescent="0.25">
      <c r="A19" s="682" t="s">
        <v>1197</v>
      </c>
      <c r="B19" s="683"/>
      <c r="C19" s="683"/>
      <c r="D19" s="684"/>
    </row>
    <row r="20" spans="1:4" x14ac:dyDescent="0.25">
      <c r="A20" s="557" t="s">
        <v>1039</v>
      </c>
      <c r="B20" s="558">
        <v>1</v>
      </c>
      <c r="C20" s="559" t="s">
        <v>1040</v>
      </c>
      <c r="D20" s="560" t="s">
        <v>205</v>
      </c>
    </row>
    <row r="21" spans="1:4" x14ac:dyDescent="0.25">
      <c r="A21" s="557" t="s">
        <v>1041</v>
      </c>
      <c r="B21" s="558">
        <v>1</v>
      </c>
      <c r="C21" s="559" t="s">
        <v>1042</v>
      </c>
      <c r="D21" s="560" t="s">
        <v>205</v>
      </c>
    </row>
    <row r="22" spans="1:4" x14ac:dyDescent="0.25">
      <c r="A22" s="557" t="s">
        <v>1043</v>
      </c>
      <c r="B22" s="558">
        <v>1</v>
      </c>
      <c r="C22" s="559" t="s">
        <v>1044</v>
      </c>
      <c r="D22" s="560" t="s">
        <v>205</v>
      </c>
    </row>
    <row r="23" spans="1:4" x14ac:dyDescent="0.25">
      <c r="A23" s="557" t="s">
        <v>1045</v>
      </c>
      <c r="B23" s="558">
        <v>1</v>
      </c>
      <c r="C23" s="559" t="s">
        <v>1046</v>
      </c>
      <c r="D23" s="560" t="s">
        <v>205</v>
      </c>
    </row>
    <row r="24" spans="1:4" x14ac:dyDescent="0.25">
      <c r="A24" s="557" t="s">
        <v>1047</v>
      </c>
      <c r="B24" s="558">
        <v>0</v>
      </c>
      <c r="C24" s="559" t="s">
        <v>1048</v>
      </c>
      <c r="D24" s="560" t="s">
        <v>205</v>
      </c>
    </row>
    <row r="25" spans="1:4" x14ac:dyDescent="0.25">
      <c r="A25" s="682" t="s">
        <v>1049</v>
      </c>
      <c r="B25" s="683"/>
      <c r="C25" s="683"/>
      <c r="D25" s="684"/>
    </row>
    <row r="26" spans="1:4" x14ac:dyDescent="0.25">
      <c r="A26" s="565" t="s">
        <v>1050</v>
      </c>
      <c r="B26" s="566">
        <v>0</v>
      </c>
      <c r="C26" s="567" t="s">
        <v>1051</v>
      </c>
      <c r="D26" s="341" t="s">
        <v>205</v>
      </c>
    </row>
    <row r="27" spans="1:4" x14ac:dyDescent="0.25">
      <c r="A27" s="565" t="s">
        <v>1052</v>
      </c>
      <c r="B27" s="566">
        <v>0</v>
      </c>
      <c r="C27" s="311" t="s">
        <v>1053</v>
      </c>
      <c r="D27" s="341" t="s">
        <v>205</v>
      </c>
    </row>
    <row r="28" spans="1:4" x14ac:dyDescent="0.25">
      <c r="A28" s="565" t="s">
        <v>1054</v>
      </c>
      <c r="B28" s="566">
        <v>0</v>
      </c>
      <c r="C28" s="311" t="s">
        <v>1055</v>
      </c>
      <c r="D28" s="341" t="s">
        <v>205</v>
      </c>
    </row>
    <row r="29" spans="1:4" x14ac:dyDescent="0.25">
      <c r="A29" s="309" t="s">
        <v>1056</v>
      </c>
      <c r="B29" s="313">
        <v>0</v>
      </c>
      <c r="C29" s="340" t="s">
        <v>1057</v>
      </c>
      <c r="D29" s="312" t="s">
        <v>205</v>
      </c>
    </row>
    <row r="30" spans="1:4" x14ac:dyDescent="0.25">
      <c r="A30" s="309" t="s">
        <v>1058</v>
      </c>
      <c r="B30" s="313">
        <v>0</v>
      </c>
      <c r="C30" s="340" t="s">
        <v>1059</v>
      </c>
      <c r="D30" s="312" t="s">
        <v>205</v>
      </c>
    </row>
    <row r="31" spans="1:4" x14ac:dyDescent="0.25">
      <c r="A31" s="309" t="s">
        <v>1060</v>
      </c>
      <c r="B31" s="313">
        <v>0</v>
      </c>
      <c r="C31" s="340" t="s">
        <v>1061</v>
      </c>
      <c r="D31" s="341" t="s">
        <v>205</v>
      </c>
    </row>
    <row r="32" spans="1:4" x14ac:dyDescent="0.25">
      <c r="A32" s="309" t="s">
        <v>1062</v>
      </c>
      <c r="B32" s="313">
        <v>0</v>
      </c>
      <c r="C32" s="340" t="s">
        <v>1063</v>
      </c>
      <c r="D32" s="341" t="s">
        <v>205</v>
      </c>
    </row>
    <row r="33" spans="1:4" x14ac:dyDescent="0.25">
      <c r="A33" s="309" t="s">
        <v>1064</v>
      </c>
      <c r="B33" s="313">
        <v>0</v>
      </c>
      <c r="C33" s="340" t="s">
        <v>1065</v>
      </c>
      <c r="D33" s="341" t="s">
        <v>205</v>
      </c>
    </row>
    <row r="34" spans="1:4" x14ac:dyDescent="0.25">
      <c r="A34" s="309" t="s">
        <v>1066</v>
      </c>
      <c r="B34" s="313">
        <v>0</v>
      </c>
      <c r="C34" s="340" t="s">
        <v>1067</v>
      </c>
      <c r="D34" s="341" t="s">
        <v>205</v>
      </c>
    </row>
    <row r="35" spans="1:4" x14ac:dyDescent="0.25">
      <c r="A35" s="309" t="s">
        <v>1195</v>
      </c>
      <c r="B35" s="313">
        <v>0</v>
      </c>
      <c r="C35" s="340" t="s">
        <v>1196</v>
      </c>
      <c r="D35" s="341" t="s">
        <v>205</v>
      </c>
    </row>
    <row r="36" spans="1:4" x14ac:dyDescent="0.25">
      <c r="A36" s="309" t="s">
        <v>1068</v>
      </c>
      <c r="B36" s="313">
        <v>0</v>
      </c>
      <c r="C36" s="340" t="s">
        <v>1069</v>
      </c>
      <c r="D36" s="341" t="s">
        <v>205</v>
      </c>
    </row>
    <row r="37" spans="1:4" x14ac:dyDescent="0.25">
      <c r="A37" s="309" t="s">
        <v>1070</v>
      </c>
      <c r="B37" s="313">
        <v>0</v>
      </c>
      <c r="C37" s="340" t="s">
        <v>1071</v>
      </c>
      <c r="D37" s="341" t="s">
        <v>205</v>
      </c>
    </row>
    <row r="38" spans="1:4" x14ac:dyDescent="0.25">
      <c r="A38" s="309" t="s">
        <v>1072</v>
      </c>
      <c r="B38" s="313">
        <v>0</v>
      </c>
      <c r="C38" s="340" t="s">
        <v>1073</v>
      </c>
      <c r="D38" s="341" t="s">
        <v>205</v>
      </c>
    </row>
    <row r="39" spans="1:4" x14ac:dyDescent="0.25">
      <c r="A39" s="309" t="s">
        <v>1193</v>
      </c>
      <c r="B39" s="313">
        <v>0</v>
      </c>
      <c r="C39" s="552" t="s">
        <v>1194</v>
      </c>
      <c r="D39" s="551" t="s">
        <v>205</v>
      </c>
    </row>
    <row r="40" spans="1:4" x14ac:dyDescent="0.25">
      <c r="A40" s="309" t="s">
        <v>1074</v>
      </c>
      <c r="B40" s="313">
        <v>0</v>
      </c>
      <c r="C40" s="552" t="s">
        <v>1075</v>
      </c>
      <c r="D40" s="551" t="s">
        <v>205</v>
      </c>
    </row>
    <row r="41" spans="1:4" x14ac:dyDescent="0.25">
      <c r="A41" s="309" t="s">
        <v>1076</v>
      </c>
      <c r="B41" s="313">
        <v>0</v>
      </c>
      <c r="C41" s="552" t="s">
        <v>1077</v>
      </c>
      <c r="D41" s="551" t="s">
        <v>205</v>
      </c>
    </row>
    <row r="42" spans="1:4" x14ac:dyDescent="0.25">
      <c r="A42" s="682" t="s">
        <v>415</v>
      </c>
      <c r="B42" s="683"/>
      <c r="C42" s="683"/>
      <c r="D42" s="684"/>
    </row>
    <row r="43" spans="1:4" x14ac:dyDescent="0.25">
      <c r="A43" s="309" t="s">
        <v>1078</v>
      </c>
      <c r="B43" s="313">
        <v>0</v>
      </c>
      <c r="C43" s="311" t="s">
        <v>1079</v>
      </c>
      <c r="D43" s="312" t="s">
        <v>205</v>
      </c>
    </row>
    <row r="44" spans="1:4" x14ac:dyDescent="0.25">
      <c r="A44" s="309" t="s">
        <v>1080</v>
      </c>
      <c r="B44" s="313">
        <v>9</v>
      </c>
      <c r="C44" s="552" t="s">
        <v>1081</v>
      </c>
      <c r="D44" s="551" t="s">
        <v>205</v>
      </c>
    </row>
    <row r="45" spans="1:4" x14ac:dyDescent="0.25">
      <c r="A45" s="309" t="s">
        <v>1117</v>
      </c>
      <c r="B45" s="313">
        <v>10</v>
      </c>
      <c r="C45" s="340" t="s">
        <v>1118</v>
      </c>
      <c r="D45" s="571" t="s">
        <v>205</v>
      </c>
    </row>
    <row r="46" spans="1:4" x14ac:dyDescent="0.25">
      <c r="A46" s="682" t="s">
        <v>1082</v>
      </c>
      <c r="B46" s="683"/>
      <c r="C46" s="683"/>
      <c r="D46" s="684"/>
    </row>
    <row r="47" spans="1:4" x14ac:dyDescent="0.25">
      <c r="A47" s="309" t="s">
        <v>880</v>
      </c>
      <c r="B47" s="310">
        <v>2</v>
      </c>
      <c r="C47" s="311" t="s">
        <v>881</v>
      </c>
      <c r="D47" s="312" t="s">
        <v>205</v>
      </c>
    </row>
    <row r="48" spans="1:4" x14ac:dyDescent="0.25">
      <c r="A48" s="309" t="s">
        <v>1083</v>
      </c>
      <c r="B48" s="313">
        <v>0</v>
      </c>
      <c r="C48" s="340" t="s">
        <v>1084</v>
      </c>
      <c r="D48" s="312" t="s">
        <v>205</v>
      </c>
    </row>
    <row r="49" spans="1:4" x14ac:dyDescent="0.25">
      <c r="A49" s="309" t="s">
        <v>167</v>
      </c>
      <c r="B49" s="313">
        <v>1</v>
      </c>
      <c r="C49" s="340" t="s">
        <v>168</v>
      </c>
      <c r="D49" s="312" t="s">
        <v>205</v>
      </c>
    </row>
    <row r="50" spans="1:4" x14ac:dyDescent="0.25">
      <c r="A50" s="309" t="s">
        <v>427</v>
      </c>
      <c r="B50" s="313">
        <v>1</v>
      </c>
      <c r="C50" s="340" t="s">
        <v>1085</v>
      </c>
      <c r="D50" s="312" t="s">
        <v>205</v>
      </c>
    </row>
    <row r="51" spans="1:4" x14ac:dyDescent="0.25">
      <c r="A51" s="309" t="s">
        <v>169</v>
      </c>
      <c r="B51" s="313">
        <v>1</v>
      </c>
      <c r="C51" s="340" t="s">
        <v>1086</v>
      </c>
      <c r="D51" s="312" t="s">
        <v>205</v>
      </c>
    </row>
    <row r="52" spans="1:4" x14ac:dyDescent="0.25">
      <c r="A52" s="548" t="s">
        <v>1087</v>
      </c>
      <c r="B52" s="555">
        <v>2</v>
      </c>
      <c r="C52" s="552" t="s">
        <v>1088</v>
      </c>
      <c r="D52" s="554" t="s">
        <v>205</v>
      </c>
    </row>
    <row r="53" spans="1:4" x14ac:dyDescent="0.25">
      <c r="A53" s="682" t="s">
        <v>1089</v>
      </c>
      <c r="B53" s="683"/>
      <c r="C53" s="683"/>
      <c r="D53" s="684"/>
    </row>
    <row r="54" spans="1:4" x14ac:dyDescent="0.25">
      <c r="A54" s="309" t="s">
        <v>170</v>
      </c>
      <c r="B54" s="310">
        <v>1</v>
      </c>
      <c r="C54" s="311" t="s">
        <v>1090</v>
      </c>
      <c r="D54" s="312" t="s">
        <v>205</v>
      </c>
    </row>
    <row r="55" spans="1:4" x14ac:dyDescent="0.25">
      <c r="A55" s="548" t="s">
        <v>1112</v>
      </c>
      <c r="B55" s="549">
        <v>5</v>
      </c>
      <c r="C55" s="570" t="s">
        <v>1100</v>
      </c>
      <c r="D55" s="551" t="s">
        <v>205</v>
      </c>
    </row>
    <row r="56" spans="1:4" x14ac:dyDescent="0.25">
      <c r="A56" s="548" t="s">
        <v>1113</v>
      </c>
      <c r="B56" s="549">
        <v>3</v>
      </c>
      <c r="C56" s="552" t="s">
        <v>1114</v>
      </c>
      <c r="D56" s="551" t="s">
        <v>205</v>
      </c>
    </row>
    <row r="57" spans="1:4" x14ac:dyDescent="0.25">
      <c r="A57" s="548" t="s">
        <v>1116</v>
      </c>
      <c r="B57" s="549">
        <v>8</v>
      </c>
      <c r="C57" s="552" t="s">
        <v>1115</v>
      </c>
      <c r="D57" s="551" t="s">
        <v>205</v>
      </c>
    </row>
    <row r="58" spans="1:4" x14ac:dyDescent="0.25">
      <c r="A58" s="548" t="s">
        <v>1186</v>
      </c>
      <c r="B58" s="549">
        <v>8</v>
      </c>
      <c r="C58" s="552" t="s">
        <v>1115</v>
      </c>
      <c r="D58" s="551" t="s">
        <v>205</v>
      </c>
    </row>
    <row r="59" spans="1:4" x14ac:dyDescent="0.25">
      <c r="A59" s="548"/>
      <c r="B59" s="549"/>
      <c r="C59" s="552"/>
      <c r="D59" s="551"/>
    </row>
    <row r="60" spans="1:4" x14ac:dyDescent="0.25">
      <c r="A60" s="548"/>
      <c r="B60" s="549"/>
      <c r="C60" s="552"/>
      <c r="D60" s="551"/>
    </row>
    <row r="61" spans="1:4" x14ac:dyDescent="0.25">
      <c r="A61" s="548"/>
      <c r="B61" s="549"/>
      <c r="C61" s="552"/>
      <c r="D61" s="551"/>
    </row>
    <row r="62" spans="1:4" x14ac:dyDescent="0.25">
      <c r="A62" s="682"/>
      <c r="B62" s="683"/>
      <c r="C62" s="683"/>
      <c r="D62" s="684"/>
    </row>
    <row r="63" spans="1:4" x14ac:dyDescent="0.25">
      <c r="A63" s="434"/>
      <c r="B63" s="564"/>
      <c r="C63" s="562"/>
      <c r="D63" s="561"/>
    </row>
    <row r="64" spans="1:4" x14ac:dyDescent="0.25">
      <c r="A64" s="434"/>
      <c r="B64" s="564"/>
      <c r="C64" s="562"/>
      <c r="D64" s="561"/>
    </row>
    <row r="65" spans="1:4" x14ac:dyDescent="0.25">
      <c r="A65" s="548"/>
      <c r="B65" s="549"/>
      <c r="C65" s="552"/>
      <c r="D65" s="551"/>
    </row>
    <row r="66" spans="1:4" x14ac:dyDescent="0.25">
      <c r="A66" s="548"/>
      <c r="B66" s="549"/>
      <c r="C66" s="553"/>
      <c r="D66" s="551"/>
    </row>
  </sheetData>
  <mergeCells count="13">
    <mergeCell ref="A62:D62"/>
    <mergeCell ref="A19:D19"/>
    <mergeCell ref="A9:D9"/>
    <mergeCell ref="A25:D25"/>
    <mergeCell ref="A42:D42"/>
    <mergeCell ref="A46:D46"/>
    <mergeCell ref="A53:D53"/>
    <mergeCell ref="A6:D6"/>
    <mergeCell ref="A8:D8"/>
    <mergeCell ref="A1:D1"/>
    <mergeCell ref="A3:D3"/>
    <mergeCell ref="A4:D5"/>
    <mergeCell ref="A2:D2"/>
  </mergeCells>
  <phoneticPr fontId="40" type="noConversion"/>
  <pageMargins left="0.75" right="0.75" top="1" bottom="1" header="0.5" footer="0.5"/>
  <pageSetup paperSize="9" scale="90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9">
    <pageSetUpPr fitToPage="1"/>
  </sheetPr>
  <dimension ref="A1:D66"/>
  <sheetViews>
    <sheetView view="pageBreakPreview" zoomScaleNormal="100" workbookViewId="0">
      <selection activeCell="A2" sqref="A2:D2"/>
    </sheetView>
  </sheetViews>
  <sheetFormatPr defaultRowHeight="13.2" x14ac:dyDescent="0.25"/>
  <cols>
    <col min="1" max="1" width="15.6640625" customWidth="1"/>
    <col min="2" max="2" width="8.6640625" customWidth="1"/>
    <col min="3" max="3" width="50.6640625" customWidth="1"/>
    <col min="4" max="4" width="12.6640625" customWidth="1"/>
  </cols>
  <sheetData>
    <row r="1" spans="1:4" x14ac:dyDescent="0.25">
      <c r="A1" s="620"/>
      <c r="B1" s="648"/>
      <c r="C1" s="648"/>
      <c r="D1" s="648"/>
    </row>
    <row r="2" spans="1:4" ht="18" x14ac:dyDescent="0.35">
      <c r="A2" s="604" t="str">
        <f>'App B (1)'!A2:D2</f>
        <v xml:space="preserve">Dimbaza 66/11kV Substation Refurbishment </v>
      </c>
      <c r="B2" s="652"/>
      <c r="C2" s="652"/>
      <c r="D2" s="653"/>
    </row>
    <row r="3" spans="1:4" ht="16.2" x14ac:dyDescent="0.25">
      <c r="A3" s="675"/>
      <c r="B3" s="673"/>
      <c r="C3" s="673"/>
      <c r="D3" s="674"/>
    </row>
    <row r="4" spans="1:4" x14ac:dyDescent="0.25">
      <c r="A4" s="676" t="s">
        <v>31</v>
      </c>
      <c r="B4" s="677"/>
      <c r="C4" s="677"/>
      <c r="D4" s="678"/>
    </row>
    <row r="5" spans="1:4" x14ac:dyDescent="0.25">
      <c r="A5" s="679"/>
      <c r="B5" s="680"/>
      <c r="C5" s="680"/>
      <c r="D5" s="681"/>
    </row>
    <row r="6" spans="1:4" ht="16.2" x14ac:dyDescent="0.25">
      <c r="A6" s="669"/>
      <c r="B6" s="670"/>
      <c r="C6" s="670"/>
      <c r="D6" s="671"/>
    </row>
    <row r="7" spans="1:4" x14ac:dyDescent="0.25">
      <c r="A7" s="303" t="s">
        <v>247</v>
      </c>
      <c r="B7" s="303" t="s">
        <v>248</v>
      </c>
      <c r="C7" s="303" t="s">
        <v>413</v>
      </c>
      <c r="D7" s="303" t="s">
        <v>249</v>
      </c>
    </row>
    <row r="8" spans="1:4" x14ac:dyDescent="0.25">
      <c r="A8" s="685" t="s">
        <v>1091</v>
      </c>
      <c r="B8" s="686"/>
      <c r="C8" s="686"/>
      <c r="D8" s="687"/>
    </row>
    <row r="9" spans="1:4" x14ac:dyDescent="0.25">
      <c r="A9" s="548" t="s">
        <v>628</v>
      </c>
      <c r="B9" s="549">
        <v>1</v>
      </c>
      <c r="C9" s="553" t="s">
        <v>629</v>
      </c>
      <c r="D9" s="551" t="s">
        <v>205</v>
      </c>
    </row>
    <row r="10" spans="1:4" x14ac:dyDescent="0.25">
      <c r="A10" s="548" t="s">
        <v>630</v>
      </c>
      <c r="B10" s="549">
        <v>2</v>
      </c>
      <c r="C10" s="553" t="s">
        <v>631</v>
      </c>
      <c r="D10" s="551" t="s">
        <v>205</v>
      </c>
    </row>
    <row r="11" spans="1:4" x14ac:dyDescent="0.25">
      <c r="A11" s="548" t="s">
        <v>632</v>
      </c>
      <c r="B11" s="549">
        <v>1</v>
      </c>
      <c r="C11" s="552" t="s">
        <v>633</v>
      </c>
      <c r="D11" s="551" t="s">
        <v>205</v>
      </c>
    </row>
    <row r="12" spans="1:4" x14ac:dyDescent="0.25">
      <c r="A12" s="548" t="s">
        <v>634</v>
      </c>
      <c r="B12" s="549">
        <v>0</v>
      </c>
      <c r="C12" s="552" t="s">
        <v>635</v>
      </c>
      <c r="D12" s="551" t="s">
        <v>205</v>
      </c>
    </row>
    <row r="13" spans="1:4" x14ac:dyDescent="0.25">
      <c r="A13" s="548" t="s">
        <v>1092</v>
      </c>
      <c r="B13" s="549">
        <v>0</v>
      </c>
      <c r="C13" s="552" t="s">
        <v>1093</v>
      </c>
      <c r="D13" s="551" t="s">
        <v>205</v>
      </c>
    </row>
    <row r="14" spans="1:4" x14ac:dyDescent="0.25">
      <c r="A14" s="548" t="s">
        <v>1094</v>
      </c>
      <c r="B14" s="549">
        <v>0</v>
      </c>
      <c r="C14" s="552" t="s">
        <v>1095</v>
      </c>
      <c r="D14" s="551" t="s">
        <v>205</v>
      </c>
    </row>
    <row r="15" spans="1:4" x14ac:dyDescent="0.25">
      <c r="A15" s="548" t="s">
        <v>1096</v>
      </c>
      <c r="B15" s="549">
        <v>0</v>
      </c>
      <c r="C15" s="552" t="s">
        <v>1097</v>
      </c>
      <c r="D15" s="551" t="s">
        <v>205</v>
      </c>
    </row>
    <row r="16" spans="1:4" x14ac:dyDescent="0.25">
      <c r="A16" s="548" t="s">
        <v>1174</v>
      </c>
      <c r="B16" s="549">
        <v>0</v>
      </c>
      <c r="C16" s="552" t="s">
        <v>1175</v>
      </c>
      <c r="D16" s="551" t="s">
        <v>205</v>
      </c>
    </row>
    <row r="17" spans="1:4" x14ac:dyDescent="0.25">
      <c r="A17" s="548" t="s">
        <v>1176</v>
      </c>
      <c r="B17" s="549">
        <v>0</v>
      </c>
      <c r="C17" s="552" t="s">
        <v>1177</v>
      </c>
      <c r="D17" s="551" t="s">
        <v>205</v>
      </c>
    </row>
    <row r="18" spans="1:4" x14ac:dyDescent="0.25">
      <c r="A18" s="548" t="s">
        <v>1178</v>
      </c>
      <c r="B18" s="549">
        <v>0</v>
      </c>
      <c r="C18" s="552" t="s">
        <v>1179</v>
      </c>
      <c r="D18" s="551" t="s">
        <v>205</v>
      </c>
    </row>
    <row r="19" spans="1:4" x14ac:dyDescent="0.25">
      <c r="A19" s="682" t="s">
        <v>1098</v>
      </c>
      <c r="B19" s="683"/>
      <c r="C19" s="683"/>
      <c r="D19" s="684"/>
    </row>
    <row r="20" spans="1:4" x14ac:dyDescent="0.25">
      <c r="A20" s="309" t="s">
        <v>1099</v>
      </c>
      <c r="B20" s="310">
        <v>4</v>
      </c>
      <c r="C20" s="340" t="s">
        <v>1100</v>
      </c>
      <c r="D20" s="312" t="s">
        <v>205</v>
      </c>
    </row>
    <row r="21" spans="1:4" x14ac:dyDescent="0.25">
      <c r="A21" s="309" t="s">
        <v>1101</v>
      </c>
      <c r="B21" s="310">
        <v>1</v>
      </c>
      <c r="C21" s="340" t="s">
        <v>1102</v>
      </c>
      <c r="D21" s="312" t="s">
        <v>205</v>
      </c>
    </row>
    <row r="22" spans="1:4" x14ac:dyDescent="0.25">
      <c r="A22" s="548" t="s">
        <v>1103</v>
      </c>
      <c r="B22" s="555">
        <v>4</v>
      </c>
      <c r="C22" s="340" t="s">
        <v>1104</v>
      </c>
      <c r="D22" s="341" t="s">
        <v>205</v>
      </c>
    </row>
    <row r="23" spans="1:4" x14ac:dyDescent="0.25">
      <c r="A23" s="548" t="s">
        <v>1105</v>
      </c>
      <c r="B23" s="555">
        <v>5</v>
      </c>
      <c r="C23" s="340" t="s">
        <v>1106</v>
      </c>
      <c r="D23" s="341" t="s">
        <v>205</v>
      </c>
    </row>
    <row r="24" spans="1:4" x14ac:dyDescent="0.25">
      <c r="A24" s="548" t="s">
        <v>1107</v>
      </c>
      <c r="B24" s="555">
        <v>5</v>
      </c>
      <c r="C24" s="340" t="s">
        <v>1108</v>
      </c>
      <c r="D24" s="341" t="s">
        <v>205</v>
      </c>
    </row>
    <row r="25" spans="1:4" x14ac:dyDescent="0.25">
      <c r="A25" s="548" t="s">
        <v>1109</v>
      </c>
      <c r="B25" s="555">
        <v>3</v>
      </c>
      <c r="C25" s="567" t="s">
        <v>1110</v>
      </c>
      <c r="D25" s="341" t="s">
        <v>205</v>
      </c>
    </row>
    <row r="26" spans="1:4" x14ac:dyDescent="0.25">
      <c r="A26" s="548" t="s">
        <v>32</v>
      </c>
      <c r="B26" s="555">
        <v>8</v>
      </c>
      <c r="C26" s="311" t="s">
        <v>580</v>
      </c>
      <c r="D26" s="341" t="s">
        <v>205</v>
      </c>
    </row>
    <row r="27" spans="1:4" x14ac:dyDescent="0.25">
      <c r="A27" s="548" t="s">
        <v>33</v>
      </c>
      <c r="B27" s="549">
        <v>1</v>
      </c>
      <c r="C27" s="311" t="s">
        <v>1</v>
      </c>
      <c r="D27" s="341" t="s">
        <v>205</v>
      </c>
    </row>
    <row r="28" spans="1:4" x14ac:dyDescent="0.25">
      <c r="A28" s="548" t="s">
        <v>34</v>
      </c>
      <c r="B28" s="555">
        <v>1</v>
      </c>
      <c r="C28" s="311" t="s">
        <v>1111</v>
      </c>
      <c r="D28" s="341" t="s">
        <v>205</v>
      </c>
    </row>
    <row r="29" spans="1:4" x14ac:dyDescent="0.25">
      <c r="A29" s="548" t="s">
        <v>1182</v>
      </c>
      <c r="B29" s="555">
        <v>3</v>
      </c>
      <c r="C29" s="311" t="s">
        <v>1183</v>
      </c>
      <c r="D29" s="341" t="s">
        <v>205</v>
      </c>
    </row>
    <row r="30" spans="1:4" x14ac:dyDescent="0.25">
      <c r="A30" s="548" t="s">
        <v>1184</v>
      </c>
      <c r="B30" s="555">
        <v>3</v>
      </c>
      <c r="C30" s="311" t="s">
        <v>1185</v>
      </c>
      <c r="D30" s="341" t="s">
        <v>205</v>
      </c>
    </row>
    <row r="31" spans="1:4" x14ac:dyDescent="0.25">
      <c r="A31" s="548"/>
      <c r="B31" s="555"/>
      <c r="C31" s="567"/>
      <c r="D31" s="341"/>
    </row>
    <row r="32" spans="1:4" x14ac:dyDescent="0.25">
      <c r="A32" s="548"/>
      <c r="B32" s="555"/>
      <c r="C32" s="311"/>
      <c r="D32" s="341"/>
    </row>
    <row r="33" spans="1:4" x14ac:dyDescent="0.25">
      <c r="A33" s="548"/>
      <c r="B33" s="549"/>
      <c r="C33" s="311"/>
      <c r="D33" s="341"/>
    </row>
    <row r="34" spans="1:4" x14ac:dyDescent="0.25">
      <c r="A34" s="548"/>
      <c r="B34" s="555"/>
      <c r="C34" s="311"/>
      <c r="D34" s="341"/>
    </row>
    <row r="35" spans="1:4" x14ac:dyDescent="0.25">
      <c r="A35" s="548"/>
      <c r="B35" s="555"/>
      <c r="C35" s="311"/>
      <c r="D35" s="341"/>
    </row>
    <row r="36" spans="1:4" x14ac:dyDescent="0.25">
      <c r="A36" s="548"/>
      <c r="B36" s="555"/>
      <c r="C36" s="311"/>
      <c r="D36" s="341"/>
    </row>
    <row r="37" spans="1:4" x14ac:dyDescent="0.25">
      <c r="A37" s="309"/>
      <c r="B37" s="313"/>
      <c r="C37" s="340"/>
      <c r="D37" s="312"/>
    </row>
    <row r="38" spans="1:4" x14ac:dyDescent="0.25">
      <c r="A38" s="548"/>
      <c r="B38" s="549"/>
      <c r="C38" s="552"/>
      <c r="D38" s="551"/>
    </row>
    <row r="39" spans="1:4" x14ac:dyDescent="0.25">
      <c r="A39" s="548"/>
      <c r="B39" s="555"/>
      <c r="C39" s="552"/>
      <c r="D39" s="554"/>
    </row>
    <row r="40" spans="1:4" x14ac:dyDescent="0.25">
      <c r="A40" s="556"/>
      <c r="B40" s="568"/>
      <c r="C40" s="550"/>
      <c r="D40" s="569"/>
    </row>
    <row r="41" spans="1:4" x14ac:dyDescent="0.25">
      <c r="A41" s="434"/>
      <c r="B41" s="564"/>
      <c r="C41" s="562"/>
      <c r="D41" s="561"/>
    </row>
    <row r="42" spans="1:4" x14ac:dyDescent="0.25">
      <c r="A42" s="434"/>
      <c r="B42" s="564"/>
      <c r="C42" s="562"/>
      <c r="D42" s="561"/>
    </row>
    <row r="43" spans="1:4" x14ac:dyDescent="0.25">
      <c r="A43" s="434"/>
      <c r="B43" s="564"/>
      <c r="C43" s="562"/>
      <c r="D43" s="561"/>
    </row>
    <row r="44" spans="1:4" x14ac:dyDescent="0.25">
      <c r="A44" s="434"/>
      <c r="B44" s="564"/>
      <c r="C44" s="562"/>
      <c r="D44" s="561"/>
    </row>
    <row r="45" spans="1:4" x14ac:dyDescent="0.25">
      <c r="A45" s="556"/>
      <c r="B45" s="568"/>
      <c r="C45" s="550"/>
      <c r="D45" s="569"/>
    </row>
    <row r="46" spans="1:4" x14ac:dyDescent="0.25">
      <c r="A46" s="434"/>
      <c r="B46" s="564"/>
      <c r="C46" s="562"/>
      <c r="D46" s="561"/>
    </row>
    <row r="47" spans="1:4" x14ac:dyDescent="0.25">
      <c r="A47" s="434"/>
      <c r="B47" s="564"/>
      <c r="C47" s="562"/>
      <c r="D47" s="561"/>
    </row>
    <row r="48" spans="1:4" x14ac:dyDescent="0.25">
      <c r="A48" s="434"/>
      <c r="B48" s="564"/>
      <c r="C48" s="562"/>
      <c r="D48" s="561"/>
    </row>
    <row r="49" spans="1:4" x14ac:dyDescent="0.25">
      <c r="A49" s="309"/>
      <c r="B49" s="310"/>
      <c r="C49" s="311"/>
      <c r="D49" s="312"/>
    </row>
    <row r="50" spans="1:4" x14ac:dyDescent="0.25">
      <c r="A50" s="309"/>
      <c r="B50" s="310"/>
      <c r="C50" s="311"/>
      <c r="D50" s="312"/>
    </row>
    <row r="51" spans="1:4" x14ac:dyDescent="0.25">
      <c r="A51" s="556"/>
      <c r="B51" s="568"/>
      <c r="C51" s="550"/>
      <c r="D51" s="569"/>
    </row>
    <row r="52" spans="1:4" x14ac:dyDescent="0.25">
      <c r="A52" s="309"/>
      <c r="B52" s="310"/>
      <c r="C52" s="311"/>
      <c r="D52" s="312"/>
    </row>
    <row r="53" spans="1:4" x14ac:dyDescent="0.25">
      <c r="A53" s="309"/>
      <c r="B53" s="310"/>
      <c r="C53" s="311"/>
      <c r="D53" s="312"/>
    </row>
    <row r="54" spans="1:4" x14ac:dyDescent="0.25">
      <c r="A54" s="309"/>
      <c r="B54" s="310"/>
      <c r="C54" s="311"/>
      <c r="D54" s="312"/>
    </row>
    <row r="55" spans="1:4" x14ac:dyDescent="0.25">
      <c r="A55" s="309"/>
      <c r="B55" s="310"/>
      <c r="C55" s="311"/>
      <c r="D55" s="312"/>
    </row>
    <row r="56" spans="1:4" x14ac:dyDescent="0.25">
      <c r="A56" s="309"/>
      <c r="B56" s="310"/>
      <c r="C56" s="311"/>
      <c r="D56" s="312"/>
    </row>
    <row r="57" spans="1:4" x14ac:dyDescent="0.25">
      <c r="A57" s="309"/>
      <c r="B57" s="310"/>
      <c r="C57" s="311"/>
      <c r="D57" s="312"/>
    </row>
    <row r="58" spans="1:4" x14ac:dyDescent="0.25">
      <c r="A58" s="309"/>
      <c r="B58" s="310"/>
      <c r="C58" s="311"/>
      <c r="D58" s="312"/>
    </row>
    <row r="59" spans="1:4" x14ac:dyDescent="0.25">
      <c r="A59" s="556"/>
      <c r="B59" s="568"/>
      <c r="C59" s="550"/>
      <c r="D59" s="569"/>
    </row>
    <row r="60" spans="1:4" x14ac:dyDescent="0.25">
      <c r="A60" s="548"/>
      <c r="B60" s="549"/>
      <c r="C60" s="552"/>
      <c r="D60" s="551"/>
    </row>
    <row r="61" spans="1:4" x14ac:dyDescent="0.25">
      <c r="A61" s="548"/>
      <c r="B61" s="549"/>
      <c r="C61" s="553"/>
      <c r="D61" s="551"/>
    </row>
    <row r="62" spans="1:4" x14ac:dyDescent="0.25">
      <c r="A62" s="548"/>
      <c r="B62" s="549"/>
      <c r="C62" s="553"/>
      <c r="D62" s="551"/>
    </row>
    <row r="63" spans="1:4" x14ac:dyDescent="0.25">
      <c r="A63" s="548"/>
      <c r="B63" s="549"/>
      <c r="C63" s="552"/>
      <c r="D63" s="551"/>
    </row>
    <row r="64" spans="1:4" x14ac:dyDescent="0.25">
      <c r="A64" s="548"/>
      <c r="B64" s="549"/>
      <c r="C64" s="552"/>
      <c r="D64" s="551"/>
    </row>
    <row r="65" spans="1:4" x14ac:dyDescent="0.25">
      <c r="A65" s="548"/>
      <c r="B65" s="549"/>
      <c r="C65" s="552"/>
      <c r="D65" s="551"/>
    </row>
    <row r="66" spans="1:4" x14ac:dyDescent="0.25">
      <c r="A66" s="548"/>
      <c r="B66" s="549"/>
      <c r="C66" s="552"/>
      <c r="D66" s="551"/>
    </row>
  </sheetData>
  <mergeCells count="7">
    <mergeCell ref="A8:D8"/>
    <mergeCell ref="A19:D19"/>
    <mergeCell ref="A6:D6"/>
    <mergeCell ref="A1:D1"/>
    <mergeCell ref="A2:D2"/>
    <mergeCell ref="A3:D3"/>
    <mergeCell ref="A4:D5"/>
  </mergeCells>
  <phoneticPr fontId="40" type="noConversion"/>
  <pageMargins left="0.75" right="0.75" top="1" bottom="1" header="0.5" footer="0.5"/>
  <pageSetup paperSize="9" scale="83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>
    <tabColor indexed="46"/>
  </sheetPr>
  <dimension ref="B1:H60"/>
  <sheetViews>
    <sheetView view="pageBreakPreview" zoomScaleNormal="100" zoomScaleSheetLayoutView="100" workbookViewId="0">
      <selection activeCell="F56" sqref="F56"/>
    </sheetView>
  </sheetViews>
  <sheetFormatPr defaultColWidth="9.109375" defaultRowHeight="13.2" x14ac:dyDescent="0.25"/>
  <cols>
    <col min="1" max="1" width="10.6640625" style="1" customWidth="1"/>
    <col min="2" max="2" width="6.6640625" style="1" customWidth="1"/>
    <col min="3" max="3" width="10.6640625" style="16" customWidth="1"/>
    <col min="4" max="4" width="20.6640625" style="1" customWidth="1"/>
    <col min="5" max="5" width="18.6640625" style="1" customWidth="1"/>
    <col min="6" max="7" width="10.6640625" style="1" customWidth="1"/>
    <col min="8" max="8" width="8.6640625" style="1" customWidth="1"/>
    <col min="9" max="16384" width="9.109375" style="1"/>
  </cols>
  <sheetData>
    <row r="1" spans="2:8" ht="6" customHeight="1" x14ac:dyDescent="0.25">
      <c r="B1" s="620"/>
      <c r="C1" s="648"/>
      <c r="D1" s="648"/>
      <c r="E1" s="648"/>
      <c r="F1" s="648"/>
      <c r="G1" s="648"/>
      <c r="H1" s="648"/>
    </row>
    <row r="2" spans="2:8" ht="20.100000000000001" customHeight="1" x14ac:dyDescent="0.25">
      <c r="B2" s="688" t="str">
        <f>'Cover sht'!B2</f>
        <v xml:space="preserve">Dimbaza 66/11kV Substation Refurbishment </v>
      </c>
      <c r="C2" s="642"/>
      <c r="D2" s="642"/>
      <c r="E2" s="642"/>
      <c r="F2" s="642"/>
      <c r="G2" s="642"/>
      <c r="H2" s="643"/>
    </row>
    <row r="3" spans="2:8" ht="6" customHeight="1" x14ac:dyDescent="0.25">
      <c r="B3" s="669"/>
      <c r="C3" s="670"/>
      <c r="D3" s="670"/>
      <c r="E3" s="670"/>
      <c r="F3" s="670"/>
      <c r="G3" s="670"/>
      <c r="H3" s="671"/>
    </row>
    <row r="4" spans="2:8" ht="15" customHeight="1" x14ac:dyDescent="0.25">
      <c r="B4" s="689" t="s">
        <v>429</v>
      </c>
      <c r="C4" s="690"/>
      <c r="D4" s="690"/>
      <c r="E4" s="690"/>
      <c r="F4" s="690"/>
      <c r="G4" s="690"/>
      <c r="H4" s="691"/>
    </row>
    <row r="5" spans="2:8" ht="6" customHeight="1" x14ac:dyDescent="0.25">
      <c r="B5" s="669"/>
      <c r="C5" s="670"/>
      <c r="D5" s="670"/>
      <c r="E5" s="670"/>
      <c r="F5" s="670"/>
      <c r="G5" s="670"/>
      <c r="H5" s="671"/>
    </row>
    <row r="6" spans="2:8" ht="15" customHeight="1" x14ac:dyDescent="0.25">
      <c r="B6" s="167" t="s">
        <v>430</v>
      </c>
      <c r="C6" s="167" t="s">
        <v>431</v>
      </c>
      <c r="D6" s="167" t="s">
        <v>432</v>
      </c>
      <c r="E6" s="167" t="s">
        <v>244</v>
      </c>
      <c r="F6" s="167" t="s">
        <v>433</v>
      </c>
      <c r="G6" s="167" t="s">
        <v>435</v>
      </c>
      <c r="H6" s="167" t="s">
        <v>434</v>
      </c>
    </row>
    <row r="7" spans="2:8" ht="6" customHeight="1" x14ac:dyDescent="0.25">
      <c r="B7" s="10"/>
      <c r="C7" s="11"/>
      <c r="D7" s="11"/>
      <c r="E7" s="11"/>
      <c r="F7" s="11"/>
      <c r="G7" s="11"/>
      <c r="H7" s="12"/>
    </row>
    <row r="8" spans="2:8" s="8" customFormat="1" ht="12" customHeight="1" x14ac:dyDescent="0.2">
      <c r="B8" s="139">
        <v>2</v>
      </c>
      <c r="C8" s="178" t="s">
        <v>36</v>
      </c>
      <c r="D8" s="179" t="s">
        <v>37</v>
      </c>
      <c r="E8" s="180" t="s">
        <v>38</v>
      </c>
      <c r="F8" s="181">
        <v>31</v>
      </c>
      <c r="G8" s="181">
        <v>26</v>
      </c>
      <c r="H8" s="182" t="s">
        <v>39</v>
      </c>
    </row>
    <row r="9" spans="2:8" s="8" customFormat="1" ht="12" customHeight="1" x14ac:dyDescent="0.2">
      <c r="B9" s="139">
        <v>2</v>
      </c>
      <c r="C9" s="178">
        <v>22</v>
      </c>
      <c r="D9" s="179" t="s">
        <v>47</v>
      </c>
      <c r="E9" s="180" t="s">
        <v>549</v>
      </c>
      <c r="F9" s="181">
        <v>31</v>
      </c>
      <c r="G9" s="181">
        <v>26</v>
      </c>
      <c r="H9" s="182" t="s">
        <v>48</v>
      </c>
    </row>
    <row r="10" spans="2:8" s="8" customFormat="1" ht="12" customHeight="1" x14ac:dyDescent="0.2">
      <c r="B10" s="183">
        <v>3</v>
      </c>
      <c r="C10" s="184">
        <v>66</v>
      </c>
      <c r="D10" s="185" t="s">
        <v>551</v>
      </c>
      <c r="E10" s="186" t="s">
        <v>49</v>
      </c>
      <c r="F10" s="187">
        <v>31</v>
      </c>
      <c r="G10" s="187">
        <v>38</v>
      </c>
      <c r="H10" s="182" t="s">
        <v>50</v>
      </c>
    </row>
    <row r="11" spans="2:8" s="8" customFormat="1" ht="12" customHeight="1" x14ac:dyDescent="0.2">
      <c r="B11" s="183">
        <v>8</v>
      </c>
      <c r="C11" s="188">
        <v>22</v>
      </c>
      <c r="D11" s="185" t="s">
        <v>551</v>
      </c>
      <c r="E11" s="186" t="s">
        <v>550</v>
      </c>
      <c r="F11" s="187">
        <v>31</v>
      </c>
      <c r="G11" s="187">
        <v>38</v>
      </c>
      <c r="H11" s="182" t="s">
        <v>552</v>
      </c>
    </row>
    <row r="12" spans="2:8" s="8" customFormat="1" ht="12" customHeight="1" x14ac:dyDescent="0.2">
      <c r="B12" s="189">
        <v>3</v>
      </c>
      <c r="C12" s="188">
        <v>22</v>
      </c>
      <c r="D12" s="190" t="s">
        <v>508</v>
      </c>
      <c r="E12" s="191" t="s">
        <v>553</v>
      </c>
      <c r="F12" s="181">
        <v>31</v>
      </c>
      <c r="G12" s="181">
        <v>26</v>
      </c>
      <c r="H12" s="182" t="s">
        <v>494</v>
      </c>
    </row>
    <row r="13" spans="2:8" s="8" customFormat="1" ht="12" customHeight="1" x14ac:dyDescent="0.2">
      <c r="B13" s="189">
        <v>6</v>
      </c>
      <c r="C13" s="192">
        <v>66</v>
      </c>
      <c r="D13" s="193" t="s">
        <v>554</v>
      </c>
      <c r="E13" s="194" t="s">
        <v>555</v>
      </c>
      <c r="F13" s="181">
        <v>31</v>
      </c>
      <c r="G13" s="181">
        <v>38</v>
      </c>
      <c r="H13" s="133" t="s">
        <v>51</v>
      </c>
    </row>
    <row r="14" spans="2:8" s="8" customFormat="1" ht="12" customHeight="1" x14ac:dyDescent="0.2">
      <c r="B14" s="139">
        <v>9</v>
      </c>
      <c r="C14" s="195">
        <v>66</v>
      </c>
      <c r="D14" s="196" t="s">
        <v>556</v>
      </c>
      <c r="E14" s="197" t="s">
        <v>558</v>
      </c>
      <c r="F14" s="198">
        <v>31</v>
      </c>
      <c r="G14" s="198">
        <v>26</v>
      </c>
      <c r="H14" s="199" t="s">
        <v>52</v>
      </c>
    </row>
    <row r="15" spans="2:8" s="8" customFormat="1" ht="12" customHeight="1" x14ac:dyDescent="0.2">
      <c r="B15" s="189">
        <v>15</v>
      </c>
      <c r="C15" s="200">
        <v>22</v>
      </c>
      <c r="D15" s="196" t="s">
        <v>556</v>
      </c>
      <c r="E15" s="201" t="s">
        <v>558</v>
      </c>
      <c r="F15" s="202">
        <v>31</v>
      </c>
      <c r="G15" s="202" t="s">
        <v>559</v>
      </c>
      <c r="H15" s="199" t="s">
        <v>563</v>
      </c>
    </row>
    <row r="16" spans="2:8" s="8" customFormat="1" ht="12" customHeight="1" x14ac:dyDescent="0.2">
      <c r="B16" s="183">
        <v>12</v>
      </c>
      <c r="C16" s="192">
        <v>132</v>
      </c>
      <c r="D16" s="193" t="s">
        <v>557</v>
      </c>
      <c r="E16" s="203" t="s">
        <v>509</v>
      </c>
      <c r="F16" s="198">
        <v>31</v>
      </c>
      <c r="G16" s="204" t="s">
        <v>426</v>
      </c>
      <c r="H16" s="199" t="s">
        <v>560</v>
      </c>
    </row>
    <row r="17" spans="2:8" s="8" customFormat="1" ht="12" customHeight="1" x14ac:dyDescent="0.2">
      <c r="B17" s="139">
        <v>27</v>
      </c>
      <c r="C17" s="192">
        <v>66</v>
      </c>
      <c r="D17" s="193" t="s">
        <v>557</v>
      </c>
      <c r="E17" s="205" t="s">
        <v>510</v>
      </c>
      <c r="F17" s="198">
        <v>31</v>
      </c>
      <c r="G17" s="204" t="s">
        <v>426</v>
      </c>
      <c r="H17" s="199" t="s">
        <v>561</v>
      </c>
    </row>
    <row r="18" spans="2:8" s="8" customFormat="1" ht="12" customHeight="1" x14ac:dyDescent="0.2">
      <c r="B18" s="139">
        <v>2</v>
      </c>
      <c r="C18" s="192">
        <v>66</v>
      </c>
      <c r="D18" s="179" t="s">
        <v>55</v>
      </c>
      <c r="E18" s="205" t="s">
        <v>53</v>
      </c>
      <c r="F18" s="198">
        <v>31</v>
      </c>
      <c r="G18" s="198" t="s">
        <v>562</v>
      </c>
      <c r="H18" s="199" t="s">
        <v>54</v>
      </c>
    </row>
    <row r="19" spans="2:8" s="8" customFormat="1" ht="12" customHeight="1" x14ac:dyDescent="0.2">
      <c r="B19" s="139">
        <v>5</v>
      </c>
      <c r="C19" s="192">
        <v>22</v>
      </c>
      <c r="D19" s="179" t="s">
        <v>44</v>
      </c>
      <c r="E19" s="205" t="s">
        <v>493</v>
      </c>
      <c r="F19" s="198">
        <v>31</v>
      </c>
      <c r="G19" s="198">
        <v>38</v>
      </c>
      <c r="H19" s="199" t="s">
        <v>426</v>
      </c>
    </row>
    <row r="20" spans="2:8" s="8" customFormat="1" ht="12" customHeight="1" x14ac:dyDescent="0.2">
      <c r="B20" s="139">
        <v>24</v>
      </c>
      <c r="C20" s="192" t="s">
        <v>426</v>
      </c>
      <c r="D20" s="179" t="s">
        <v>164</v>
      </c>
      <c r="E20" s="205"/>
      <c r="F20" s="198"/>
      <c r="G20" s="198"/>
      <c r="H20" s="199" t="s">
        <v>426</v>
      </c>
    </row>
    <row r="21" spans="2:8" s="8" customFormat="1" ht="12" customHeight="1" x14ac:dyDescent="0.2">
      <c r="B21" s="139"/>
      <c r="C21" s="192"/>
      <c r="D21" s="179"/>
      <c r="E21" s="205"/>
      <c r="F21" s="198"/>
      <c r="G21" s="198"/>
      <c r="H21" s="199"/>
    </row>
    <row r="22" spans="2:8" s="8" customFormat="1" ht="12" customHeight="1" x14ac:dyDescent="0.2">
      <c r="B22" s="139"/>
      <c r="C22" s="192"/>
      <c r="D22" s="179"/>
      <c r="E22" s="205"/>
      <c r="F22" s="198"/>
      <c r="G22" s="198"/>
      <c r="H22" s="199"/>
    </row>
    <row r="23" spans="2:8" ht="6" customHeight="1" x14ac:dyDescent="0.25">
      <c r="B23" s="669"/>
      <c r="C23" s="670"/>
      <c r="D23" s="670"/>
      <c r="E23" s="670"/>
      <c r="F23" s="670"/>
      <c r="G23" s="670"/>
      <c r="H23" s="671"/>
    </row>
    <row r="24" spans="2:8" ht="15" customHeight="1" x14ac:dyDescent="0.25">
      <c r="B24" s="167" t="s">
        <v>430</v>
      </c>
      <c r="C24" s="167" t="s">
        <v>436</v>
      </c>
      <c r="D24" s="694" t="s">
        <v>244</v>
      </c>
      <c r="E24" s="695"/>
      <c r="F24" s="167" t="s">
        <v>437</v>
      </c>
      <c r="G24" s="167" t="s">
        <v>438</v>
      </c>
      <c r="H24" s="167" t="s">
        <v>434</v>
      </c>
    </row>
    <row r="25" spans="2:8" ht="6" customHeight="1" x14ac:dyDescent="0.25">
      <c r="B25" s="669"/>
      <c r="C25" s="670"/>
      <c r="D25" s="670"/>
      <c r="E25" s="670"/>
      <c r="F25" s="670"/>
      <c r="G25" s="670"/>
      <c r="H25" s="671"/>
    </row>
    <row r="26" spans="2:8" s="8" customFormat="1" ht="12" customHeight="1" x14ac:dyDescent="0.25">
      <c r="B26" s="206">
        <v>3</v>
      </c>
      <c r="C26" s="207" t="s">
        <v>575</v>
      </c>
      <c r="D26" s="696" t="s">
        <v>576</v>
      </c>
      <c r="E26" s="697"/>
      <c r="F26" s="209" t="s">
        <v>65</v>
      </c>
      <c r="G26" s="210"/>
      <c r="H26" s="211" t="s">
        <v>577</v>
      </c>
    </row>
    <row r="27" spans="2:8" s="8" customFormat="1" ht="12" customHeight="1" x14ac:dyDescent="0.25">
      <c r="B27" s="206">
        <v>6</v>
      </c>
      <c r="C27" s="212" t="s">
        <v>495</v>
      </c>
      <c r="D27" s="692" t="s">
        <v>525</v>
      </c>
      <c r="E27" s="693"/>
      <c r="F27" s="209" t="s">
        <v>156</v>
      </c>
      <c r="G27" s="214"/>
      <c r="H27" s="215" t="s">
        <v>496</v>
      </c>
    </row>
    <row r="28" spans="2:8" s="8" customFormat="1" ht="12" customHeight="1" x14ac:dyDescent="0.25">
      <c r="B28" s="206">
        <v>18</v>
      </c>
      <c r="C28" s="212" t="s">
        <v>45</v>
      </c>
      <c r="D28" s="692" t="s">
        <v>525</v>
      </c>
      <c r="E28" s="693"/>
      <c r="F28" s="209" t="s">
        <v>59</v>
      </c>
      <c r="G28" s="214"/>
      <c r="H28" s="215" t="s">
        <v>152</v>
      </c>
    </row>
    <row r="29" spans="2:8" s="8" customFormat="1" ht="12" customHeight="1" x14ac:dyDescent="0.25">
      <c r="B29" s="206">
        <v>12</v>
      </c>
      <c r="C29" s="212" t="s">
        <v>526</v>
      </c>
      <c r="D29" s="692" t="s">
        <v>525</v>
      </c>
      <c r="E29" s="693"/>
      <c r="F29" s="209" t="s">
        <v>157</v>
      </c>
      <c r="G29" s="214"/>
      <c r="H29" s="215" t="s">
        <v>527</v>
      </c>
    </row>
    <row r="30" spans="2:8" s="8" customFormat="1" ht="12" customHeight="1" x14ac:dyDescent="0.25">
      <c r="B30" s="206">
        <v>12</v>
      </c>
      <c r="C30" s="212" t="s">
        <v>528</v>
      </c>
      <c r="D30" s="692" t="s">
        <v>525</v>
      </c>
      <c r="E30" s="693"/>
      <c r="F30" s="209" t="s">
        <v>60</v>
      </c>
      <c r="G30" s="214"/>
      <c r="H30" s="215" t="s">
        <v>529</v>
      </c>
    </row>
    <row r="31" spans="2:8" s="8" customFormat="1" ht="12" customHeight="1" x14ac:dyDescent="0.25">
      <c r="B31" s="216">
        <v>6</v>
      </c>
      <c r="C31" s="212" t="s">
        <v>530</v>
      </c>
      <c r="D31" s="213" t="s">
        <v>525</v>
      </c>
      <c r="E31" s="140"/>
      <c r="F31" s="209" t="s">
        <v>61</v>
      </c>
      <c r="G31" s="214"/>
      <c r="H31" s="215" t="s">
        <v>531</v>
      </c>
    </row>
    <row r="32" spans="2:8" s="8" customFormat="1" ht="12" customHeight="1" x14ac:dyDescent="0.25">
      <c r="B32" s="216">
        <v>72</v>
      </c>
      <c r="C32" s="212" t="s">
        <v>564</v>
      </c>
      <c r="D32" s="213" t="s">
        <v>532</v>
      </c>
      <c r="E32" s="140"/>
      <c r="F32" s="209" t="s">
        <v>62</v>
      </c>
      <c r="G32" s="214"/>
      <c r="H32" s="215" t="s">
        <v>565</v>
      </c>
    </row>
    <row r="33" spans="2:8" s="8" customFormat="1" ht="12" customHeight="1" x14ac:dyDescent="0.25">
      <c r="B33" s="216">
        <v>24</v>
      </c>
      <c r="C33" s="212" t="s">
        <v>533</v>
      </c>
      <c r="D33" s="213" t="s">
        <v>532</v>
      </c>
      <c r="E33" s="140"/>
      <c r="F33" s="209" t="s">
        <v>63</v>
      </c>
      <c r="G33" s="214"/>
      <c r="H33" s="215" t="s">
        <v>534</v>
      </c>
    </row>
    <row r="34" spans="2:8" s="8" customFormat="1" ht="12" customHeight="1" x14ac:dyDescent="0.25">
      <c r="B34" s="206">
        <v>12</v>
      </c>
      <c r="C34" s="212" t="s">
        <v>67</v>
      </c>
      <c r="D34" s="217" t="s">
        <v>535</v>
      </c>
      <c r="E34" s="140"/>
      <c r="F34" s="218" t="s">
        <v>64</v>
      </c>
      <c r="G34" s="214"/>
      <c r="H34" s="215" t="s">
        <v>66</v>
      </c>
    </row>
    <row r="35" spans="2:8" s="8" customFormat="1" ht="12" customHeight="1" x14ac:dyDescent="0.25">
      <c r="B35" s="206">
        <v>2</v>
      </c>
      <c r="C35" s="219" t="s">
        <v>41</v>
      </c>
      <c r="D35" s="186" t="s">
        <v>42</v>
      </c>
      <c r="E35" s="140"/>
      <c r="F35" s="220" t="s">
        <v>426</v>
      </c>
      <c r="G35" s="221"/>
      <c r="H35" s="215"/>
    </row>
    <row r="36" spans="2:8" s="8" customFormat="1" ht="12" customHeight="1" x14ac:dyDescent="0.25">
      <c r="B36" s="206">
        <v>6</v>
      </c>
      <c r="C36" s="219" t="s">
        <v>578</v>
      </c>
      <c r="D36" s="186" t="s">
        <v>579</v>
      </c>
      <c r="E36" s="140"/>
      <c r="F36" s="220" t="s">
        <v>426</v>
      </c>
      <c r="G36" s="221"/>
      <c r="H36" s="215" t="s">
        <v>46</v>
      </c>
    </row>
    <row r="37" spans="2:8" s="8" customFormat="1" ht="12" customHeight="1" x14ac:dyDescent="0.25">
      <c r="B37" s="206">
        <v>12</v>
      </c>
      <c r="C37" s="219" t="s">
        <v>35</v>
      </c>
      <c r="D37" s="186" t="s">
        <v>43</v>
      </c>
      <c r="E37" s="140"/>
      <c r="F37" s="220" t="s">
        <v>426</v>
      </c>
      <c r="G37" s="221"/>
      <c r="H37" s="215"/>
    </row>
    <row r="38" spans="2:8" s="8" customFormat="1" ht="12" customHeight="1" x14ac:dyDescent="0.25">
      <c r="B38" s="206">
        <v>6</v>
      </c>
      <c r="C38" s="222" t="s">
        <v>518</v>
      </c>
      <c r="D38" s="213" t="s">
        <v>507</v>
      </c>
      <c r="E38" s="140"/>
      <c r="F38" s="223" t="s">
        <v>57</v>
      </c>
      <c r="G38" s="210"/>
      <c r="H38" s="215"/>
    </row>
    <row r="39" spans="2:8" s="8" customFormat="1" ht="12" customHeight="1" x14ac:dyDescent="0.25">
      <c r="B39" s="206">
        <v>18</v>
      </c>
      <c r="C39" s="222" t="s">
        <v>498</v>
      </c>
      <c r="D39" s="213" t="s">
        <v>507</v>
      </c>
      <c r="E39" s="140"/>
      <c r="F39" s="223" t="s">
        <v>153</v>
      </c>
      <c r="G39" s="210"/>
      <c r="H39" s="215" t="s">
        <v>154</v>
      </c>
    </row>
    <row r="40" spans="2:8" s="8" customFormat="1" ht="12" customHeight="1" x14ac:dyDescent="0.25">
      <c r="B40" s="206">
        <v>12</v>
      </c>
      <c r="C40" s="222" t="s">
        <v>517</v>
      </c>
      <c r="D40" s="224" t="s">
        <v>536</v>
      </c>
      <c r="E40" s="208"/>
      <c r="F40" s="223" t="s">
        <v>57</v>
      </c>
      <c r="G40" s="225"/>
      <c r="H40" s="215" t="s">
        <v>499</v>
      </c>
    </row>
    <row r="41" spans="2:8" s="8" customFormat="1" ht="12" customHeight="1" x14ac:dyDescent="0.25">
      <c r="B41" s="206">
        <v>15</v>
      </c>
      <c r="C41" s="222" t="s">
        <v>520</v>
      </c>
      <c r="D41" s="213" t="s">
        <v>537</v>
      </c>
      <c r="E41" s="140"/>
      <c r="F41" s="226"/>
      <c r="G41" s="225"/>
      <c r="H41" s="215" t="s">
        <v>500</v>
      </c>
    </row>
    <row r="42" spans="2:8" s="8" customFormat="1" ht="12" customHeight="1" x14ac:dyDescent="0.25">
      <c r="B42" s="206">
        <v>6</v>
      </c>
      <c r="C42" s="222" t="s">
        <v>519</v>
      </c>
      <c r="D42" s="224" t="s">
        <v>538</v>
      </c>
      <c r="E42" s="208"/>
      <c r="F42" s="226"/>
      <c r="G42" s="225"/>
      <c r="H42" s="215" t="s">
        <v>505</v>
      </c>
    </row>
    <row r="43" spans="2:8" s="8" customFormat="1" ht="12" customHeight="1" x14ac:dyDescent="0.25">
      <c r="B43" s="206">
        <v>3</v>
      </c>
      <c r="C43" s="222" t="s">
        <v>155</v>
      </c>
      <c r="D43" s="224" t="s">
        <v>141</v>
      </c>
      <c r="E43" s="208"/>
      <c r="F43" s="227" t="s">
        <v>604</v>
      </c>
      <c r="G43" s="225"/>
      <c r="H43" s="215" t="s">
        <v>501</v>
      </c>
    </row>
    <row r="44" spans="2:8" s="8" customFormat="1" ht="12" customHeight="1" x14ac:dyDescent="0.25">
      <c r="B44" s="206">
        <v>12</v>
      </c>
      <c r="C44" s="222" t="s">
        <v>497</v>
      </c>
      <c r="D44" s="228" t="s">
        <v>506</v>
      </c>
      <c r="E44" s="140"/>
      <c r="F44" s="229" t="s">
        <v>58</v>
      </c>
      <c r="G44" s="225"/>
      <c r="H44" s="215" t="s">
        <v>502</v>
      </c>
    </row>
    <row r="45" spans="2:8" s="8" customFormat="1" ht="12" customHeight="1" x14ac:dyDescent="0.25">
      <c r="B45" s="206">
        <v>15</v>
      </c>
      <c r="C45" s="222" t="s">
        <v>516</v>
      </c>
      <c r="D45" s="228" t="s">
        <v>539</v>
      </c>
      <c r="E45" s="140"/>
      <c r="F45" s="223" t="s">
        <v>56</v>
      </c>
      <c r="G45" s="221"/>
      <c r="H45" s="215" t="s">
        <v>503</v>
      </c>
    </row>
    <row r="46" spans="2:8" s="8" customFormat="1" ht="12" customHeight="1" x14ac:dyDescent="0.25">
      <c r="B46" s="206">
        <v>15</v>
      </c>
      <c r="C46" s="222" t="s">
        <v>516</v>
      </c>
      <c r="D46" s="224" t="s">
        <v>540</v>
      </c>
      <c r="E46" s="208"/>
      <c r="F46" s="223" t="s">
        <v>56</v>
      </c>
      <c r="G46" s="221"/>
      <c r="H46" s="215" t="s">
        <v>504</v>
      </c>
    </row>
    <row r="47" spans="2:8" s="8" customFormat="1" ht="12" customHeight="1" x14ac:dyDescent="0.2">
      <c r="B47" s="139">
        <v>12</v>
      </c>
      <c r="C47" s="222"/>
      <c r="D47" s="228" t="s">
        <v>523</v>
      </c>
      <c r="E47" s="191"/>
      <c r="F47" s="230"/>
      <c r="G47" s="231"/>
      <c r="H47" s="232" t="s">
        <v>524</v>
      </c>
    </row>
    <row r="48" spans="2:8" s="8" customFormat="1" ht="12" customHeight="1" x14ac:dyDescent="0.25">
      <c r="B48" s="206">
        <v>12</v>
      </c>
      <c r="C48" s="219"/>
      <c r="D48" s="228" t="s">
        <v>521</v>
      </c>
      <c r="E48" s="141"/>
      <c r="F48" s="233"/>
      <c r="G48" s="234"/>
      <c r="H48" s="232" t="s">
        <v>522</v>
      </c>
    </row>
    <row r="49" spans="2:8" s="8" customFormat="1" ht="12" customHeight="1" x14ac:dyDescent="0.2">
      <c r="B49" s="206">
        <v>30</v>
      </c>
      <c r="C49" s="228"/>
      <c r="D49" s="228" t="s">
        <v>581</v>
      </c>
      <c r="E49" s="191"/>
      <c r="F49" s="281"/>
      <c r="G49" s="178"/>
      <c r="H49" s="282" t="s">
        <v>582</v>
      </c>
    </row>
    <row r="50" spans="2:8" s="8" customFormat="1" ht="12" customHeight="1" x14ac:dyDescent="0.2">
      <c r="B50" s="206">
        <v>410</v>
      </c>
      <c r="C50" s="228"/>
      <c r="D50" s="228" t="s">
        <v>511</v>
      </c>
      <c r="E50" s="191"/>
      <c r="F50" s="281"/>
      <c r="G50" s="178"/>
      <c r="H50" s="282" t="s">
        <v>541</v>
      </c>
    </row>
    <row r="51" spans="2:8" s="8" customFormat="1" ht="12" customHeight="1" x14ac:dyDescent="0.2">
      <c r="B51" s="206">
        <v>21</v>
      </c>
      <c r="C51" s="212"/>
      <c r="D51" s="228" t="s">
        <v>514</v>
      </c>
      <c r="E51" s="191"/>
      <c r="F51" s="281"/>
      <c r="G51" s="178"/>
      <c r="H51" s="282" t="s">
        <v>544</v>
      </c>
    </row>
    <row r="52" spans="2:8" s="8" customFormat="1" ht="12" customHeight="1" x14ac:dyDescent="0.25">
      <c r="B52" s="206">
        <v>40</v>
      </c>
      <c r="C52" s="212"/>
      <c r="D52" s="228" t="s">
        <v>512</v>
      </c>
      <c r="E52" s="191"/>
      <c r="F52" s="281"/>
      <c r="G52" s="272"/>
      <c r="H52" s="282" t="s">
        <v>542</v>
      </c>
    </row>
    <row r="53" spans="2:8" s="8" customFormat="1" ht="12" customHeight="1" x14ac:dyDescent="0.25">
      <c r="B53" s="206">
        <v>90</v>
      </c>
      <c r="C53" s="212"/>
      <c r="D53" s="228" t="s">
        <v>513</v>
      </c>
      <c r="E53" s="191"/>
      <c r="F53" s="281"/>
      <c r="G53" s="272"/>
      <c r="H53" s="282" t="s">
        <v>543</v>
      </c>
    </row>
    <row r="54" spans="2:8" s="8" customFormat="1" ht="12" customHeight="1" x14ac:dyDescent="0.25">
      <c r="B54" s="206">
        <v>3</v>
      </c>
      <c r="C54" s="222"/>
      <c r="D54" s="228" t="s">
        <v>605</v>
      </c>
      <c r="E54" s="270"/>
      <c r="F54" s="271"/>
      <c r="G54" s="272"/>
      <c r="H54" s="273" t="s">
        <v>426</v>
      </c>
    </row>
    <row r="55" spans="2:8" s="8" customFormat="1" ht="12" customHeight="1" x14ac:dyDescent="0.25">
      <c r="B55" s="206">
        <v>6</v>
      </c>
      <c r="C55" s="222"/>
      <c r="D55" s="228" t="s">
        <v>606</v>
      </c>
      <c r="E55" s="270"/>
      <c r="F55" s="271"/>
      <c r="G55" s="272"/>
      <c r="H55" s="273" t="s">
        <v>426</v>
      </c>
    </row>
    <row r="56" spans="2:8" s="8" customFormat="1" ht="12" customHeight="1" x14ac:dyDescent="0.25">
      <c r="B56" s="206">
        <v>6</v>
      </c>
      <c r="C56" s="222"/>
      <c r="D56" s="228" t="s">
        <v>591</v>
      </c>
      <c r="E56" s="270"/>
      <c r="F56" s="271"/>
      <c r="G56" s="272"/>
      <c r="H56" s="273" t="s">
        <v>426</v>
      </c>
    </row>
    <row r="57" spans="2:8" s="8" customFormat="1" ht="12" customHeight="1" x14ac:dyDescent="0.25">
      <c r="B57" s="206">
        <v>3</v>
      </c>
      <c r="C57" s="222"/>
      <c r="D57" s="228" t="s">
        <v>158</v>
      </c>
      <c r="E57" s="270"/>
      <c r="F57" s="271"/>
      <c r="G57" s="272"/>
      <c r="H57" s="273" t="s">
        <v>426</v>
      </c>
    </row>
    <row r="58" spans="2:8" s="8" customFormat="1" ht="12" customHeight="1" x14ac:dyDescent="0.25">
      <c r="B58" s="206">
        <v>6</v>
      </c>
      <c r="C58" s="222"/>
      <c r="D58" s="228" t="s">
        <v>40</v>
      </c>
      <c r="E58" s="270"/>
      <c r="F58" s="274"/>
      <c r="G58" s="272"/>
      <c r="H58" s="273" t="s">
        <v>426</v>
      </c>
    </row>
    <row r="59" spans="2:8" s="8" customFormat="1" ht="12" customHeight="1" x14ac:dyDescent="0.25">
      <c r="B59" s="206">
        <v>3</v>
      </c>
      <c r="C59" s="222"/>
      <c r="D59" s="228" t="s">
        <v>607</v>
      </c>
      <c r="E59" s="270"/>
      <c r="F59" s="274"/>
      <c r="G59" s="272"/>
      <c r="H59" s="273" t="s">
        <v>426</v>
      </c>
    </row>
    <row r="60" spans="2:8" ht="6" customHeight="1" x14ac:dyDescent="0.25">
      <c r="B60" s="168"/>
      <c r="C60" s="151"/>
      <c r="D60" s="150"/>
      <c r="E60" s="150"/>
      <c r="F60" s="150"/>
      <c r="G60" s="150"/>
      <c r="H60" s="169"/>
    </row>
  </sheetData>
  <mergeCells count="13">
    <mergeCell ref="D30:E30"/>
    <mergeCell ref="D24:E24"/>
    <mergeCell ref="B25:H25"/>
    <mergeCell ref="D26:E26"/>
    <mergeCell ref="D27:E27"/>
    <mergeCell ref="D28:E28"/>
    <mergeCell ref="D29:E29"/>
    <mergeCell ref="B23:H23"/>
    <mergeCell ref="B1:H1"/>
    <mergeCell ref="B2:H2"/>
    <mergeCell ref="B3:H3"/>
    <mergeCell ref="B5:H5"/>
    <mergeCell ref="B4:H4"/>
  </mergeCells>
  <phoneticPr fontId="19" type="noConversion"/>
  <hyperlinks>
    <hyperlink ref="D2" r:id="rId1" display="http://intranet.eskom.co.za/tescod/prt09BG/6000/6216r4.pdf" xr:uid="{00000000-0004-0000-1600-000000000000}"/>
    <hyperlink ref="H3" r:id="rId2" display="http://intranet.eskom.co.za/tescod/prt09BG/6000/6192r4.pdf" xr:uid="{00000000-0004-0000-1600-000001000000}"/>
    <hyperlink ref="H1" r:id="rId3" display="http://intranet.eskom.co.za/tescod/prt09BG/6000/6192r4.pdf" xr:uid="{00000000-0004-0000-1600-000002000000}"/>
    <hyperlink ref="H2" r:id="rId4" display="http://intranet.eskom.co.za/tescod/prt09BG/6000/6192r4.pdf" xr:uid="{00000000-0004-0000-1600-000003000000}"/>
    <hyperlink ref="H4" r:id="rId5" display="http://intranet.eskom.co.za/tescod/prt09BG/6000/6192r4.pdf" xr:uid="{00000000-0004-0000-1600-000004000000}"/>
    <hyperlink ref="H60" r:id="rId6" display="http://intranet.eskom.co.za/tescod/prt09BG/6000/6044r1.pdf" xr:uid="{00000000-0004-0000-1600-000005000000}"/>
    <hyperlink ref="F60" r:id="rId7" display="http://intranet.eskom.co.za/tescod/prt09BG/3000/3136R4.PDF" xr:uid="{00000000-0004-0000-1600-000006000000}"/>
    <hyperlink ref="G60" r:id="rId8" display="http://intranet.eskom.co.za/tescod/prt09BG/7000/7021r1.pdf" xr:uid="{00000000-0004-0000-1600-000007000000}"/>
    <hyperlink ref="H7" r:id="rId9" display="http://intranet.eskom.co.za/tescod/prt09BG/6000/6210r4.pdf" xr:uid="{00000000-0004-0000-1600-000008000000}"/>
    <hyperlink ref="G25" r:id="rId10" display="http://intranet.eskom.co.za/tescod/prt09BG/6000/6099r0.pdf" xr:uid="{00000000-0004-0000-1600-000009000000}"/>
    <hyperlink ref="G23" r:id="rId11" display="http://intranet.eskom.co.za/tescod/prt09BG/6000/6099r0.pdf" xr:uid="{00000000-0004-0000-1600-00000A000000}"/>
    <hyperlink ref="H25" r:id="rId12" display="http://intranet.eskom.co.za/tescod/prt09BG/6000/6250r3.pdf" xr:uid="{00000000-0004-0000-1600-00000B000000}"/>
    <hyperlink ref="G24" r:id="rId13" display="http://intranet.eskom.co.za/tescod/prt09BG/6000/6099r0.pdf" xr:uid="{00000000-0004-0000-1600-00000C000000}"/>
    <hyperlink ref="H8" r:id="rId14" display="http://intranet.eskom.co.za/tescod/prt09BG/6000/6210r4.pdf" xr:uid="{00000000-0004-0000-1600-00000D000000}"/>
    <hyperlink ref="H5" r:id="rId15" display="http://intranet.eskom.co.za/tescod/prt09BG/6000/6210r4.pdf" xr:uid="{00000000-0004-0000-1600-00000E000000}"/>
    <hyperlink ref="H6" r:id="rId16" display="http://intranet.eskom.co.za/tescod/prt09BG/6000/6218r5.pdf" xr:uid="{00000000-0004-0000-1600-00000F000000}"/>
    <hyperlink ref="H26" r:id="rId17" display="http://intranet.eskom.co.za/tescod/prt09BG/6000/6251r3.pdf" xr:uid="{00000000-0004-0000-1600-000010000000}"/>
    <hyperlink ref="G26" r:id="rId18" display="http://intranet.eskom.co.za/tescod/prt09BG/6000/6085r1.pdf" xr:uid="{00000000-0004-0000-1600-000011000000}"/>
    <hyperlink ref="D60" r:id="rId19" display="http://intranet.eskom.co.za/tescod/prt09BG/5000/5085.pdf" xr:uid="{00000000-0004-0000-1600-000012000000}"/>
    <hyperlink ref="H9" r:id="rId20" display="http://intranet.eskom.co.za/tescod/prt09BG/6000/6141r3.pdf" xr:uid="{00000000-0004-0000-1600-000013000000}"/>
    <hyperlink ref="H10" r:id="rId21" display="http://intranet.eskom.co.za/tescod/prt09BG/6000/6141r3.pdf" xr:uid="{00000000-0004-0000-1600-000014000000}"/>
    <hyperlink ref="H11" r:id="rId22" display="http://intranet.eskom.co.za/tescod/prt09BG/6000/6090r2.pdf" xr:uid="{00000000-0004-0000-1600-000015000000}"/>
  </hyperlinks>
  <pageMargins left="0.75" right="0.5" top="0.5" bottom="0.5" header="0.5" footer="0.5"/>
  <pageSetup paperSize="9" scale="99" orientation="portrait" r:id="rId2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5">
    <tabColor indexed="46"/>
  </sheetPr>
  <dimension ref="B1:H60"/>
  <sheetViews>
    <sheetView view="pageBreakPreview" zoomScaleNormal="100" zoomScaleSheetLayoutView="100" workbookViewId="0">
      <selection activeCell="F56" sqref="F56"/>
    </sheetView>
  </sheetViews>
  <sheetFormatPr defaultColWidth="9.109375" defaultRowHeight="13.2" x14ac:dyDescent="0.25"/>
  <cols>
    <col min="1" max="1" width="10.6640625" style="1" customWidth="1"/>
    <col min="2" max="2" width="6.6640625" style="1" customWidth="1"/>
    <col min="3" max="3" width="10.6640625" style="16" customWidth="1"/>
    <col min="4" max="4" width="20.6640625" style="1" customWidth="1"/>
    <col min="5" max="5" width="18.6640625" style="1" customWidth="1"/>
    <col min="6" max="7" width="10.6640625" style="1" customWidth="1"/>
    <col min="8" max="8" width="8.6640625" style="1" customWidth="1"/>
    <col min="9" max="16384" width="9.109375" style="1"/>
  </cols>
  <sheetData>
    <row r="1" spans="2:8" ht="6" customHeight="1" x14ac:dyDescent="0.25">
      <c r="B1" s="620"/>
      <c r="C1" s="648"/>
      <c r="D1" s="648"/>
      <c r="E1" s="648"/>
      <c r="F1" s="648"/>
      <c r="G1" s="648"/>
      <c r="H1" s="648"/>
    </row>
    <row r="2" spans="2:8" ht="20.100000000000001" customHeight="1" x14ac:dyDescent="0.25">
      <c r="B2" s="688" t="str">
        <f>'Cover sht'!B2</f>
        <v xml:space="preserve">Dimbaza 66/11kV Substation Refurbishment </v>
      </c>
      <c r="C2" s="642"/>
      <c r="D2" s="642"/>
      <c r="E2" s="642"/>
      <c r="F2" s="642"/>
      <c r="G2" s="642"/>
      <c r="H2" s="643"/>
    </row>
    <row r="3" spans="2:8" ht="6" customHeight="1" x14ac:dyDescent="0.25">
      <c r="B3" s="669"/>
      <c r="C3" s="670"/>
      <c r="D3" s="670"/>
      <c r="E3" s="670"/>
      <c r="F3" s="670"/>
      <c r="G3" s="670"/>
      <c r="H3" s="671"/>
    </row>
    <row r="4" spans="2:8" ht="15" customHeight="1" x14ac:dyDescent="0.25">
      <c r="B4" s="689" t="s">
        <v>429</v>
      </c>
      <c r="C4" s="690"/>
      <c r="D4" s="690"/>
      <c r="E4" s="690"/>
      <c r="F4" s="690"/>
      <c r="G4" s="690"/>
      <c r="H4" s="691"/>
    </row>
    <row r="5" spans="2:8" ht="6" customHeight="1" x14ac:dyDescent="0.25">
      <c r="B5" s="669"/>
      <c r="C5" s="670"/>
      <c r="D5" s="670"/>
      <c r="E5" s="670"/>
      <c r="F5" s="670"/>
      <c r="G5" s="670"/>
      <c r="H5" s="671"/>
    </row>
    <row r="6" spans="2:8" ht="15" customHeight="1" x14ac:dyDescent="0.25">
      <c r="B6" s="167" t="s">
        <v>430</v>
      </c>
      <c r="C6" s="698" t="s">
        <v>244</v>
      </c>
      <c r="D6" s="699"/>
      <c r="E6" s="700"/>
      <c r="F6" s="167" t="s">
        <v>437</v>
      </c>
      <c r="G6" s="167" t="s">
        <v>438</v>
      </c>
      <c r="H6" s="167" t="s">
        <v>434</v>
      </c>
    </row>
    <row r="7" spans="2:8" ht="6" customHeight="1" x14ac:dyDescent="0.25">
      <c r="B7" s="10"/>
      <c r="C7" s="701"/>
      <c r="D7" s="701"/>
      <c r="E7" s="701"/>
      <c r="F7" s="11"/>
      <c r="G7" s="11"/>
      <c r="H7" s="12"/>
    </row>
    <row r="8" spans="2:8" s="8" customFormat="1" ht="12" customHeight="1" x14ac:dyDescent="0.25">
      <c r="B8" s="251">
        <v>12</v>
      </c>
      <c r="C8" s="252" t="s">
        <v>583</v>
      </c>
      <c r="D8" s="269"/>
      <c r="E8" s="253"/>
      <c r="F8" s="255"/>
      <c r="G8" s="256"/>
      <c r="H8" s="257" t="s">
        <v>584</v>
      </c>
    </row>
    <row r="9" spans="2:8" s="8" customFormat="1" ht="12" customHeight="1" x14ac:dyDescent="0.2">
      <c r="B9" s="258">
        <v>12</v>
      </c>
      <c r="C9" s="267" t="s">
        <v>585</v>
      </c>
      <c r="D9" s="268"/>
      <c r="E9" s="268"/>
      <c r="F9" s="259"/>
      <c r="G9" s="259"/>
      <c r="H9" s="260" t="s">
        <v>586</v>
      </c>
    </row>
    <row r="10" spans="2:8" s="8" customFormat="1" ht="12" customHeight="1" x14ac:dyDescent="0.2">
      <c r="B10" s="261">
        <v>12</v>
      </c>
      <c r="C10" s="254" t="s">
        <v>587</v>
      </c>
      <c r="D10" s="262"/>
      <c r="E10" s="263"/>
      <c r="F10" s="264"/>
      <c r="G10" s="265"/>
      <c r="H10" s="266" t="s">
        <v>588</v>
      </c>
    </row>
    <row r="11" spans="2:8" s="8" customFormat="1" ht="12" customHeight="1" x14ac:dyDescent="0.2">
      <c r="B11" s="261">
        <v>12</v>
      </c>
      <c r="C11" s="254" t="s">
        <v>589</v>
      </c>
      <c r="D11" s="262"/>
      <c r="E11" s="263"/>
      <c r="F11" s="264"/>
      <c r="G11" s="265"/>
      <c r="H11" s="266" t="s">
        <v>590</v>
      </c>
    </row>
    <row r="12" spans="2:8" s="8" customFormat="1" ht="12" customHeight="1" x14ac:dyDescent="0.2">
      <c r="B12" s="139">
        <v>893</v>
      </c>
      <c r="C12" s="213" t="s">
        <v>545</v>
      </c>
      <c r="D12" s="275"/>
      <c r="E12" s="276"/>
      <c r="F12" s="188"/>
      <c r="G12" s="188"/>
      <c r="H12" s="277" t="s">
        <v>546</v>
      </c>
    </row>
    <row r="13" spans="2:8" s="8" customFormat="1" ht="12" customHeight="1" x14ac:dyDescent="0.2">
      <c r="B13" s="139">
        <v>624</v>
      </c>
      <c r="C13" s="213" t="s">
        <v>547</v>
      </c>
      <c r="D13" s="275"/>
      <c r="E13" s="276"/>
      <c r="F13" s="280"/>
      <c r="G13" s="188"/>
      <c r="H13" s="277" t="s">
        <v>548</v>
      </c>
    </row>
    <row r="14" spans="2:8" s="8" customFormat="1" ht="12" customHeight="1" x14ac:dyDescent="0.2">
      <c r="B14" s="139">
        <v>60</v>
      </c>
      <c r="C14" s="228" t="s">
        <v>515</v>
      </c>
      <c r="D14" s="278"/>
      <c r="E14" s="279"/>
      <c r="F14" s="280"/>
      <c r="G14" s="188"/>
      <c r="H14" s="277" t="s">
        <v>159</v>
      </c>
    </row>
    <row r="15" spans="2:8" s="8" customFormat="1" ht="12" customHeight="1" x14ac:dyDescent="0.2">
      <c r="B15" s="206">
        <v>1</v>
      </c>
      <c r="C15" s="149" t="s">
        <v>566</v>
      </c>
      <c r="D15" s="235"/>
      <c r="E15" s="236"/>
      <c r="F15" s="138"/>
      <c r="G15" s="138"/>
      <c r="H15" s="142" t="s">
        <v>567</v>
      </c>
    </row>
    <row r="16" spans="2:8" s="8" customFormat="1" ht="12" customHeight="1" x14ac:dyDescent="0.2">
      <c r="B16" s="206">
        <v>1</v>
      </c>
      <c r="C16" s="149" t="s">
        <v>568</v>
      </c>
      <c r="D16" s="235"/>
      <c r="E16" s="236"/>
      <c r="F16" s="138"/>
      <c r="G16" s="138"/>
      <c r="H16" s="142" t="s">
        <v>569</v>
      </c>
    </row>
    <row r="17" spans="2:8" s="8" customFormat="1" ht="12" customHeight="1" x14ac:dyDescent="0.2">
      <c r="B17" s="139">
        <v>1</v>
      </c>
      <c r="C17" s="149" t="s">
        <v>570</v>
      </c>
      <c r="D17" s="235"/>
      <c r="E17" s="236"/>
      <c r="F17" s="138"/>
      <c r="G17" s="143"/>
      <c r="H17" s="142" t="s">
        <v>571</v>
      </c>
    </row>
    <row r="18" spans="2:8" s="8" customFormat="1" ht="12" customHeight="1" x14ac:dyDescent="0.25">
      <c r="B18" s="139">
        <v>1</v>
      </c>
      <c r="C18" s="207" t="s">
        <v>572</v>
      </c>
      <c r="D18" s="237"/>
      <c r="E18" s="140"/>
      <c r="F18" s="138"/>
      <c r="G18" s="143"/>
      <c r="H18" s="142" t="s">
        <v>426</v>
      </c>
    </row>
    <row r="19" spans="2:8" s="8" customFormat="1" ht="12" customHeight="1" x14ac:dyDescent="0.25">
      <c r="B19" s="139">
        <v>1</v>
      </c>
      <c r="C19" s="207" t="s">
        <v>573</v>
      </c>
      <c r="D19" s="237"/>
      <c r="E19" s="140"/>
      <c r="F19" s="138"/>
      <c r="G19" s="143"/>
      <c r="H19" s="142" t="s">
        <v>426</v>
      </c>
    </row>
    <row r="20" spans="2:8" s="8" customFormat="1" ht="12" customHeight="1" x14ac:dyDescent="0.25">
      <c r="B20" s="139">
        <v>1</v>
      </c>
      <c r="C20" s="149" t="s">
        <v>574</v>
      </c>
      <c r="D20" s="141"/>
      <c r="E20" s="140"/>
      <c r="F20" s="138"/>
      <c r="G20" s="143"/>
      <c r="H20" s="142" t="s">
        <v>426</v>
      </c>
    </row>
    <row r="21" spans="2:8" s="8" customFormat="1" ht="12" customHeight="1" x14ac:dyDescent="0.25">
      <c r="B21" s="139"/>
      <c r="C21" s="149"/>
      <c r="D21" s="141"/>
      <c r="E21" s="140"/>
      <c r="F21" s="138"/>
      <c r="G21" s="143"/>
      <c r="H21" s="142"/>
    </row>
    <row r="22" spans="2:8" s="8" customFormat="1" ht="12" customHeight="1" x14ac:dyDescent="0.25">
      <c r="B22" s="139"/>
      <c r="C22" s="149"/>
      <c r="D22" s="141"/>
      <c r="E22" s="140"/>
      <c r="F22" s="138"/>
      <c r="G22" s="143"/>
      <c r="H22" s="142"/>
    </row>
    <row r="23" spans="2:8" ht="6" customHeight="1" x14ac:dyDescent="0.25">
      <c r="B23" s="669"/>
      <c r="C23" s="670"/>
      <c r="D23" s="670"/>
      <c r="E23" s="670"/>
      <c r="F23" s="670"/>
      <c r="G23" s="670"/>
      <c r="H23" s="671"/>
    </row>
    <row r="24" spans="2:8" ht="15" customHeight="1" x14ac:dyDescent="0.25">
      <c r="B24" s="167" t="s">
        <v>430</v>
      </c>
      <c r="C24" s="167" t="s">
        <v>431</v>
      </c>
      <c r="D24" s="167" t="s">
        <v>432</v>
      </c>
      <c r="E24" s="167" t="s">
        <v>244</v>
      </c>
      <c r="F24" s="167" t="s">
        <v>433</v>
      </c>
      <c r="G24" s="167" t="s">
        <v>435</v>
      </c>
      <c r="H24" s="167" t="s">
        <v>434</v>
      </c>
    </row>
    <row r="25" spans="2:8" ht="6" customHeight="1" x14ac:dyDescent="0.25">
      <c r="B25" s="669"/>
      <c r="C25" s="670"/>
      <c r="D25" s="670"/>
      <c r="E25" s="670"/>
      <c r="F25" s="670"/>
      <c r="G25" s="670"/>
      <c r="H25" s="671"/>
    </row>
    <row r="26" spans="2:8" s="8" customFormat="1" ht="12" customHeight="1" x14ac:dyDescent="0.2">
      <c r="B26" s="238">
        <v>1369</v>
      </c>
      <c r="C26" s="239" t="s">
        <v>142</v>
      </c>
      <c r="D26" s="240" t="s">
        <v>143</v>
      </c>
      <c r="E26" s="241" t="s">
        <v>146</v>
      </c>
      <c r="F26" s="242" t="s">
        <v>426</v>
      </c>
      <c r="G26" s="242" t="s">
        <v>426</v>
      </c>
      <c r="H26" s="243" t="s">
        <v>426</v>
      </c>
    </row>
    <row r="27" spans="2:8" s="8" customFormat="1" ht="12" customHeight="1" x14ac:dyDescent="0.2">
      <c r="B27" s="244">
        <v>2300</v>
      </c>
      <c r="C27" s="245" t="s">
        <v>142</v>
      </c>
      <c r="D27" s="246" t="s">
        <v>143</v>
      </c>
      <c r="E27" s="241" t="s">
        <v>145</v>
      </c>
      <c r="F27" s="242" t="s">
        <v>426</v>
      </c>
      <c r="G27" s="242" t="s">
        <v>426</v>
      </c>
      <c r="H27" s="243" t="s">
        <v>426</v>
      </c>
    </row>
    <row r="28" spans="2:8" s="8" customFormat="1" ht="12" customHeight="1" x14ac:dyDescent="0.2">
      <c r="B28" s="238">
        <v>150</v>
      </c>
      <c r="C28" s="239" t="s">
        <v>142</v>
      </c>
      <c r="D28" s="240" t="s">
        <v>143</v>
      </c>
      <c r="E28" s="241" t="s">
        <v>160</v>
      </c>
      <c r="F28" s="242" t="s">
        <v>426</v>
      </c>
      <c r="G28" s="242" t="s">
        <v>426</v>
      </c>
      <c r="H28" s="243" t="s">
        <v>426</v>
      </c>
    </row>
    <row r="29" spans="2:8" s="8" customFormat="1" ht="12" customHeight="1" x14ac:dyDescent="0.2">
      <c r="B29" s="247">
        <v>58</v>
      </c>
      <c r="C29" s="239" t="s">
        <v>142</v>
      </c>
      <c r="D29" s="240" t="s">
        <v>143</v>
      </c>
      <c r="E29" s="241" t="s">
        <v>161</v>
      </c>
      <c r="F29" s="242" t="s">
        <v>426</v>
      </c>
      <c r="G29" s="242" t="s">
        <v>426</v>
      </c>
      <c r="H29" s="243" t="s">
        <v>426</v>
      </c>
    </row>
    <row r="30" spans="2:8" s="8" customFormat="1" ht="12" customHeight="1" x14ac:dyDescent="0.2">
      <c r="B30" s="247">
        <v>5739</v>
      </c>
      <c r="C30" s="239" t="s">
        <v>142</v>
      </c>
      <c r="D30" s="240" t="s">
        <v>143</v>
      </c>
      <c r="E30" s="241" t="s">
        <v>144</v>
      </c>
      <c r="F30" s="242" t="s">
        <v>426</v>
      </c>
      <c r="G30" s="242" t="s">
        <v>426</v>
      </c>
      <c r="H30" s="243" t="s">
        <v>426</v>
      </c>
    </row>
    <row r="31" spans="2:8" s="8" customFormat="1" ht="12" customHeight="1" x14ac:dyDescent="0.2">
      <c r="B31" s="247">
        <v>276</v>
      </c>
      <c r="C31" s="239" t="s">
        <v>142</v>
      </c>
      <c r="D31" s="240" t="s">
        <v>143</v>
      </c>
      <c r="E31" s="241" t="s">
        <v>162</v>
      </c>
      <c r="F31" s="242" t="s">
        <v>426</v>
      </c>
      <c r="G31" s="242" t="s">
        <v>426</v>
      </c>
      <c r="H31" s="243" t="s">
        <v>426</v>
      </c>
    </row>
    <row r="32" spans="2:8" s="8" customFormat="1" ht="12" customHeight="1" x14ac:dyDescent="0.2">
      <c r="B32" s="247">
        <v>432</v>
      </c>
      <c r="C32" s="248" t="s">
        <v>426</v>
      </c>
      <c r="D32" s="246" t="s">
        <v>143</v>
      </c>
      <c r="E32" s="249" t="s">
        <v>163</v>
      </c>
      <c r="F32" s="242" t="s">
        <v>426</v>
      </c>
      <c r="G32" s="242" t="s">
        <v>426</v>
      </c>
      <c r="H32" s="243" t="s">
        <v>426</v>
      </c>
    </row>
    <row r="33" spans="2:8" s="8" customFormat="1" ht="12" customHeight="1" x14ac:dyDescent="0.2">
      <c r="B33" s="247">
        <v>225</v>
      </c>
      <c r="C33" s="248" t="s">
        <v>426</v>
      </c>
      <c r="D33" s="246" t="s">
        <v>143</v>
      </c>
      <c r="E33" s="249" t="s">
        <v>147</v>
      </c>
      <c r="F33" s="242" t="s">
        <v>426</v>
      </c>
      <c r="G33" s="242" t="s">
        <v>426</v>
      </c>
      <c r="H33" s="243" t="s">
        <v>426</v>
      </c>
    </row>
    <row r="34" spans="2:8" s="8" customFormat="1" ht="12" customHeight="1" x14ac:dyDescent="0.2">
      <c r="B34" s="247">
        <v>302</v>
      </c>
      <c r="C34" s="248" t="s">
        <v>426</v>
      </c>
      <c r="D34" s="250" t="s">
        <v>148</v>
      </c>
      <c r="E34" s="250" t="s">
        <v>149</v>
      </c>
      <c r="F34" s="242" t="s">
        <v>426</v>
      </c>
      <c r="G34" s="242" t="s">
        <v>426</v>
      </c>
      <c r="H34" s="243" t="s">
        <v>426</v>
      </c>
    </row>
    <row r="35" spans="2:8" s="8" customFormat="1" ht="12" customHeight="1" x14ac:dyDescent="0.2">
      <c r="B35" s="238">
        <v>120</v>
      </c>
      <c r="C35" s="248" t="s">
        <v>426</v>
      </c>
      <c r="D35" s="250" t="s">
        <v>148</v>
      </c>
      <c r="E35" s="250" t="s">
        <v>150</v>
      </c>
      <c r="F35" s="242" t="s">
        <v>426</v>
      </c>
      <c r="G35" s="242" t="s">
        <v>426</v>
      </c>
      <c r="H35" s="243" t="s">
        <v>426</v>
      </c>
    </row>
    <row r="36" spans="2:8" s="8" customFormat="1" ht="12" customHeight="1" x14ac:dyDescent="0.2">
      <c r="B36" s="247">
        <v>44</v>
      </c>
      <c r="C36" s="248" t="s">
        <v>426</v>
      </c>
      <c r="D36" s="250" t="s">
        <v>148</v>
      </c>
      <c r="E36" s="250" t="s">
        <v>151</v>
      </c>
      <c r="F36" s="242" t="s">
        <v>426</v>
      </c>
      <c r="G36" s="242" t="s">
        <v>426</v>
      </c>
      <c r="H36" s="243" t="s">
        <v>426</v>
      </c>
    </row>
    <row r="37" spans="2:8" s="8" customFormat="1" ht="12" customHeight="1" x14ac:dyDescent="0.2">
      <c r="B37" s="247">
        <v>104</v>
      </c>
      <c r="C37" s="248" t="s">
        <v>426</v>
      </c>
      <c r="D37" s="250" t="s">
        <v>592</v>
      </c>
      <c r="E37" s="250" t="s">
        <v>593</v>
      </c>
      <c r="F37" s="242" t="s">
        <v>426</v>
      </c>
      <c r="G37" s="242" t="s">
        <v>426</v>
      </c>
      <c r="H37" s="243" t="s">
        <v>426</v>
      </c>
    </row>
    <row r="38" spans="2:8" s="8" customFormat="1" ht="12" customHeight="1" x14ac:dyDescent="0.2">
      <c r="B38" s="247">
        <v>87</v>
      </c>
      <c r="C38" s="248" t="s">
        <v>426</v>
      </c>
      <c r="D38" s="250" t="s">
        <v>592</v>
      </c>
      <c r="E38" s="250" t="s">
        <v>594</v>
      </c>
      <c r="F38" s="242" t="s">
        <v>426</v>
      </c>
      <c r="G38" s="242" t="s">
        <v>426</v>
      </c>
      <c r="H38" s="243" t="s">
        <v>426</v>
      </c>
    </row>
    <row r="39" spans="2:8" s="8" customFormat="1" ht="12" customHeight="1" x14ac:dyDescent="0.2">
      <c r="B39" s="247">
        <v>46</v>
      </c>
      <c r="C39" s="248" t="s">
        <v>426</v>
      </c>
      <c r="D39" s="250" t="s">
        <v>592</v>
      </c>
      <c r="E39" s="250" t="s">
        <v>595</v>
      </c>
      <c r="F39" s="242" t="s">
        <v>426</v>
      </c>
      <c r="G39" s="242" t="s">
        <v>426</v>
      </c>
      <c r="H39" s="243" t="s">
        <v>426</v>
      </c>
    </row>
    <row r="40" spans="2:8" s="8" customFormat="1" ht="12" customHeight="1" x14ac:dyDescent="0.2">
      <c r="B40" s="136"/>
      <c r="C40" s="135"/>
      <c r="D40" s="137"/>
      <c r="E40" s="137"/>
      <c r="F40" s="134"/>
      <c r="G40" s="134"/>
      <c r="H40" s="133"/>
    </row>
    <row r="41" spans="2:8" s="8" customFormat="1" ht="12" customHeight="1" x14ac:dyDescent="0.2">
      <c r="B41" s="136"/>
      <c r="C41" s="135"/>
      <c r="D41" s="137"/>
      <c r="E41" s="137"/>
      <c r="F41" s="134"/>
      <c r="G41" s="134"/>
      <c r="H41" s="133"/>
    </row>
    <row r="42" spans="2:8" s="8" customFormat="1" ht="12" customHeight="1" x14ac:dyDescent="0.2">
      <c r="B42" s="136"/>
      <c r="C42" s="135"/>
      <c r="D42" s="137"/>
      <c r="E42" s="137"/>
      <c r="F42" s="134"/>
      <c r="G42" s="134"/>
      <c r="H42" s="133"/>
    </row>
    <row r="43" spans="2:8" s="8" customFormat="1" ht="12" customHeight="1" x14ac:dyDescent="0.2">
      <c r="B43" s="136"/>
      <c r="C43" s="135"/>
      <c r="D43" s="137"/>
      <c r="E43" s="137"/>
      <c r="F43" s="134"/>
      <c r="G43" s="134"/>
      <c r="H43" s="133"/>
    </row>
    <row r="44" spans="2:8" s="8" customFormat="1" ht="12" customHeight="1" x14ac:dyDescent="0.2">
      <c r="B44" s="136"/>
      <c r="C44" s="135"/>
      <c r="D44" s="137"/>
      <c r="E44" s="137"/>
      <c r="F44" s="134"/>
      <c r="G44" s="134"/>
      <c r="H44" s="133"/>
    </row>
    <row r="45" spans="2:8" s="8" customFormat="1" ht="12" customHeight="1" x14ac:dyDescent="0.2">
      <c r="B45" s="136"/>
      <c r="C45" s="135"/>
      <c r="D45" s="137"/>
      <c r="E45" s="137"/>
      <c r="F45" s="134"/>
      <c r="G45" s="134"/>
      <c r="H45" s="133"/>
    </row>
    <row r="46" spans="2:8" s="8" customFormat="1" ht="12" customHeight="1" x14ac:dyDescent="0.2">
      <c r="B46" s="136"/>
      <c r="C46" s="135"/>
      <c r="D46" s="137"/>
      <c r="E46" s="137"/>
      <c r="F46" s="134"/>
      <c r="G46" s="134"/>
      <c r="H46" s="133"/>
    </row>
    <row r="47" spans="2:8" s="8" customFormat="1" ht="12" customHeight="1" x14ac:dyDescent="0.2">
      <c r="B47" s="136"/>
      <c r="C47" s="135"/>
      <c r="D47" s="137"/>
      <c r="E47" s="137"/>
      <c r="F47" s="134"/>
      <c r="G47" s="134"/>
      <c r="H47" s="133"/>
    </row>
    <row r="48" spans="2:8" s="8" customFormat="1" ht="12" customHeight="1" x14ac:dyDescent="0.2">
      <c r="B48" s="136"/>
      <c r="C48" s="135"/>
      <c r="D48" s="137"/>
      <c r="E48" s="137"/>
      <c r="F48" s="134"/>
      <c r="G48" s="134"/>
      <c r="H48" s="133"/>
    </row>
    <row r="49" spans="2:8" s="8" customFormat="1" ht="12" customHeight="1" x14ac:dyDescent="0.2">
      <c r="B49" s="136"/>
      <c r="C49" s="135"/>
      <c r="D49" s="137"/>
      <c r="E49" s="137"/>
      <c r="F49" s="134"/>
      <c r="G49" s="134"/>
      <c r="H49" s="133"/>
    </row>
    <row r="50" spans="2:8" s="8" customFormat="1" ht="12" customHeight="1" x14ac:dyDescent="0.2">
      <c r="B50" s="136"/>
      <c r="C50" s="135"/>
      <c r="D50" s="137"/>
      <c r="E50" s="137"/>
      <c r="F50" s="134"/>
      <c r="G50" s="134"/>
      <c r="H50" s="133"/>
    </row>
    <row r="51" spans="2:8" s="8" customFormat="1" ht="12" customHeight="1" x14ac:dyDescent="0.2">
      <c r="B51" s="136"/>
      <c r="C51" s="135"/>
      <c r="D51" s="137"/>
      <c r="E51" s="137"/>
      <c r="F51" s="134"/>
      <c r="G51" s="134"/>
      <c r="H51" s="133"/>
    </row>
    <row r="52" spans="2:8" s="8" customFormat="1" ht="12" customHeight="1" x14ac:dyDescent="0.2">
      <c r="B52" s="136"/>
      <c r="C52" s="135"/>
      <c r="D52" s="137"/>
      <c r="E52" s="137"/>
      <c r="F52" s="134"/>
      <c r="G52" s="134"/>
      <c r="H52" s="133"/>
    </row>
    <row r="53" spans="2:8" s="8" customFormat="1" ht="12" customHeight="1" x14ac:dyDescent="0.2">
      <c r="B53" s="136"/>
      <c r="C53" s="135"/>
      <c r="D53" s="137"/>
      <c r="E53" s="137"/>
      <c r="F53" s="134"/>
      <c r="G53" s="134"/>
      <c r="H53" s="133"/>
    </row>
    <row r="54" spans="2:8" s="8" customFormat="1" ht="12" customHeight="1" x14ac:dyDescent="0.2">
      <c r="B54" s="136"/>
      <c r="C54" s="135"/>
      <c r="D54" s="137"/>
      <c r="E54" s="137"/>
      <c r="F54" s="134"/>
      <c r="G54" s="134"/>
      <c r="H54" s="133"/>
    </row>
    <row r="55" spans="2:8" s="8" customFormat="1" ht="12" customHeight="1" x14ac:dyDescent="0.2">
      <c r="B55" s="136"/>
      <c r="C55" s="135"/>
      <c r="D55" s="137"/>
      <c r="E55" s="137"/>
      <c r="F55" s="134"/>
      <c r="G55" s="134"/>
      <c r="H55" s="133"/>
    </row>
    <row r="56" spans="2:8" s="8" customFormat="1" ht="12" customHeight="1" x14ac:dyDescent="0.2">
      <c r="B56" s="136"/>
      <c r="C56" s="135"/>
      <c r="D56" s="137"/>
      <c r="E56" s="137"/>
      <c r="F56" s="134"/>
      <c r="G56" s="134"/>
      <c r="H56" s="133"/>
    </row>
    <row r="57" spans="2:8" s="8" customFormat="1" ht="12" customHeight="1" x14ac:dyDescent="0.2">
      <c r="B57" s="136"/>
      <c r="C57" s="135"/>
      <c r="D57" s="137"/>
      <c r="E57" s="137"/>
      <c r="F57" s="134"/>
      <c r="G57" s="134"/>
      <c r="H57" s="133"/>
    </row>
    <row r="58" spans="2:8" s="8" customFormat="1" ht="12" customHeight="1" x14ac:dyDescent="0.2">
      <c r="B58" s="136"/>
      <c r="C58" s="135"/>
      <c r="D58" s="137"/>
      <c r="E58" s="137"/>
      <c r="F58" s="134"/>
      <c r="G58" s="134"/>
      <c r="H58" s="133"/>
    </row>
    <row r="59" spans="2:8" s="8" customFormat="1" ht="12" customHeight="1" x14ac:dyDescent="0.2">
      <c r="B59" s="136"/>
      <c r="C59" s="135"/>
      <c r="D59" s="137"/>
      <c r="E59" s="137"/>
      <c r="F59" s="134"/>
      <c r="G59" s="134"/>
      <c r="H59" s="133"/>
    </row>
    <row r="60" spans="2:8" ht="6" customHeight="1" x14ac:dyDescent="0.25">
      <c r="B60" s="168"/>
      <c r="C60" s="151"/>
      <c r="D60" s="150"/>
      <c r="E60" s="150"/>
      <c r="F60" s="150"/>
      <c r="G60" s="150"/>
      <c r="H60" s="169"/>
    </row>
  </sheetData>
  <mergeCells count="9">
    <mergeCell ref="B25:H25"/>
    <mergeCell ref="C6:E6"/>
    <mergeCell ref="C7:E7"/>
    <mergeCell ref="B1:H1"/>
    <mergeCell ref="B2:H2"/>
    <mergeCell ref="B3:H3"/>
    <mergeCell ref="B5:H5"/>
    <mergeCell ref="B4:H4"/>
    <mergeCell ref="B23:H23"/>
  </mergeCells>
  <phoneticPr fontId="19" type="noConversion"/>
  <hyperlinks>
    <hyperlink ref="D2" r:id="rId1" display="http://intranet.eskom.co.za/tescod/prt09BG/6000/6216r4.pdf" xr:uid="{00000000-0004-0000-1700-000000000000}"/>
    <hyperlink ref="H3" r:id="rId2" display="http://intranet.eskom.co.za/tescod/prt09BG/6000/6192r4.pdf" xr:uid="{00000000-0004-0000-1700-000001000000}"/>
    <hyperlink ref="H1" r:id="rId3" display="http://intranet.eskom.co.za/tescod/prt09BG/6000/6192r4.pdf" xr:uid="{00000000-0004-0000-1700-000002000000}"/>
    <hyperlink ref="H2" r:id="rId4" display="http://intranet.eskom.co.za/tescod/prt09BG/6000/6192r4.pdf" xr:uid="{00000000-0004-0000-1700-000003000000}"/>
    <hyperlink ref="H4" r:id="rId5" display="http://intranet.eskom.co.za/tescod/prt09BG/6000/6192r4.pdf" xr:uid="{00000000-0004-0000-1700-000004000000}"/>
    <hyperlink ref="F60" r:id="rId6" display="http://intranet.eskom.co.za/tescod/prt09BG/3000/3136R4.PDF" xr:uid="{00000000-0004-0000-1700-000005000000}"/>
    <hyperlink ref="G60" r:id="rId7" display="http://intranet.eskom.co.za/tescod/prt09BG/8000/8001r3.pdf" xr:uid="{00000000-0004-0000-1700-000006000000}"/>
    <hyperlink ref="G23" r:id="rId8" display="http://intranet.eskom.co.za/tescod/prt09BG/8000/8001r3.pdf" xr:uid="{00000000-0004-0000-1700-000007000000}"/>
    <hyperlink ref="H5" r:id="rId9" display="http://intranet.eskom.co.za/tescod/prt09BG/6000/6210r4.pdf" xr:uid="{00000000-0004-0000-1700-000008000000}"/>
    <hyperlink ref="D60" r:id="rId10" display="http://intranet.eskom.co.za/tescod/prt09BG/5000/5085.pdf" xr:uid="{00000000-0004-0000-1700-000009000000}"/>
    <hyperlink ref="F1" r:id="rId11" display="http://intranet.eskom.co.za/tescod/prt09BG/6000/6099r0.pdf" xr:uid="{00000000-0004-0000-1700-00000A000000}"/>
    <hyperlink ref="H7" r:id="rId12" display="http://intranet.eskom.co.za/tescod/prt09BG/6000/6210r4.pdf" xr:uid="{00000000-0004-0000-1700-00000B000000}"/>
    <hyperlink ref="H60" r:id="rId13" display="http://intranet.eskom.co.za/tescod/prt09BG/8000/8007r2.pdf" xr:uid="{00000000-0004-0000-1700-00000C000000}"/>
    <hyperlink ref="G6" r:id="rId14" display="http://intranet.eskom.co.za/tescod/prt09BG/7000/7014r1.PDF" xr:uid="{00000000-0004-0000-1700-00000D000000}"/>
    <hyperlink ref="F6" r:id="rId15" display="http://intranet.eskom.co.za/tescod/prt09BG/3000/3136R4.PDF" xr:uid="{00000000-0004-0000-1700-00000E000000}"/>
    <hyperlink ref="H25" r:id="rId16" display="http://intranet.eskom.co.za/tescod/prt09BG/8000/8001r3.pdf" xr:uid="{00000000-0004-0000-1700-00000F000000}"/>
    <hyperlink ref="G24" r:id="rId17" display="http://intranet.eskom.co.za/tescod/prt09BG/8000/8000r3.pdf" xr:uid="{00000000-0004-0000-1700-000010000000}"/>
    <hyperlink ref="G25" r:id="rId18" display="http://intranet.eskom.co.za/tescod/prt09BG/8000/8000r3.pdf" xr:uid="{00000000-0004-0000-1700-000011000000}"/>
    <hyperlink ref="G26" r:id="rId19" display="http://intranet.eskom.co.za/tescod/prt09BG/8000/8001r3.pdf" xr:uid="{00000000-0004-0000-1700-000012000000}"/>
    <hyperlink ref="G27" r:id="rId20" display="http://intranet.eskom.co.za/tescod/prt09BG/8000/8001r3.pdf" xr:uid="{00000000-0004-0000-1700-000013000000}"/>
    <hyperlink ref="G32" r:id="rId21" display="http://intranet.eskom.co.za/tescod/prt09BG/8000/8001r3.pdf" xr:uid="{00000000-0004-0000-1700-000014000000}"/>
    <hyperlink ref="G33" r:id="rId22" display="http://intranet.eskom.co.za/tescod/prt09BG/8000/8001r3.pdf" xr:uid="{00000000-0004-0000-1700-000015000000}"/>
    <hyperlink ref="G28" r:id="rId23" display="http://intranet.eskom.co.za/tescod/prt09BG/8000/8001r3.pdf" xr:uid="{00000000-0004-0000-1700-000016000000}"/>
    <hyperlink ref="G29" r:id="rId24" display="http://intranet.eskom.co.za/tescod/prt09BG/8000/8001r3.pdf" xr:uid="{00000000-0004-0000-1700-000017000000}"/>
    <hyperlink ref="G30" r:id="rId25" display="http://intranet.eskom.co.za/tescod/prt09BG/8000/8001r3.pdf" xr:uid="{00000000-0004-0000-1700-000018000000}"/>
    <hyperlink ref="G31" r:id="rId26" display="http://intranet.eskom.co.za/tescod/prt09BG/8000/8001r3.pdf" xr:uid="{00000000-0004-0000-1700-000019000000}"/>
  </hyperlinks>
  <pageMargins left="0.75" right="0.5" top="0.5" bottom="0.5" header="0.5" footer="0.5"/>
  <pageSetup paperSize="9" scale="99" orientation="portrait" r:id="rId27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0">
    <pageSetUpPr fitToPage="1"/>
  </sheetPr>
  <dimension ref="A1:N48"/>
  <sheetViews>
    <sheetView topLeftCell="A16" workbookViewId="0">
      <selection activeCell="C51" sqref="C51"/>
    </sheetView>
  </sheetViews>
  <sheetFormatPr defaultRowHeight="13.2" x14ac:dyDescent="0.25"/>
  <cols>
    <col min="1" max="1" width="17.33203125" bestFit="1" customWidth="1"/>
    <col min="2" max="2" width="27.5546875" bestFit="1" customWidth="1"/>
    <col min="3" max="3" width="10.88671875" bestFit="1" customWidth="1"/>
    <col min="4" max="4" width="9.6640625" customWidth="1"/>
    <col min="5" max="5" width="10.88671875" customWidth="1"/>
    <col min="6" max="6" width="11.88671875" bestFit="1" customWidth="1"/>
    <col min="8" max="8" width="14.44140625" bestFit="1" customWidth="1"/>
    <col min="9" max="9" width="10.109375" customWidth="1"/>
    <col min="10" max="10" width="9.6640625" bestFit="1" customWidth="1"/>
    <col min="11" max="11" width="9.6640625" customWidth="1"/>
    <col min="12" max="12" width="10.44140625" customWidth="1"/>
    <col min="13" max="13" width="13.33203125" bestFit="1" customWidth="1"/>
  </cols>
  <sheetData>
    <row r="1" spans="1:14" x14ac:dyDescent="0.25">
      <c r="A1" s="17" t="s">
        <v>281</v>
      </c>
      <c r="B1" s="18"/>
      <c r="C1" s="18"/>
      <c r="D1" s="18"/>
      <c r="E1" s="18"/>
    </row>
    <row r="2" spans="1:14" x14ac:dyDescent="0.25">
      <c r="A2" t="s">
        <v>282</v>
      </c>
    </row>
    <row r="3" spans="1:14" x14ac:dyDescent="0.25">
      <c r="A3" s="19" t="s">
        <v>283</v>
      </c>
      <c r="B3" s="20"/>
    </row>
    <row r="4" spans="1:14" s="22" customFormat="1" x14ac:dyDescent="0.25">
      <c r="A4" s="21" t="s">
        <v>284</v>
      </c>
      <c r="B4" s="21" t="s">
        <v>244</v>
      </c>
      <c r="C4" s="21" t="s">
        <v>285</v>
      </c>
      <c r="D4" s="21"/>
      <c r="E4" s="21" t="s">
        <v>286</v>
      </c>
      <c r="F4" s="21" t="s">
        <v>287</v>
      </c>
      <c r="G4" s="21" t="s">
        <v>246</v>
      </c>
      <c r="H4" s="21" t="s">
        <v>288</v>
      </c>
      <c r="I4" s="21" t="s">
        <v>289</v>
      </c>
      <c r="J4" s="21" t="s">
        <v>290</v>
      </c>
      <c r="K4" s="21" t="s">
        <v>290</v>
      </c>
      <c r="L4" s="21" t="s">
        <v>291</v>
      </c>
      <c r="M4" s="21" t="s">
        <v>292</v>
      </c>
      <c r="N4" s="22" t="s">
        <v>381</v>
      </c>
    </row>
    <row r="5" spans="1:14" s="24" customFormat="1" ht="13.8" x14ac:dyDescent="0.25">
      <c r="A5" s="21"/>
      <c r="B5" s="21"/>
      <c r="C5" s="21"/>
      <c r="D5" s="21"/>
      <c r="E5" s="21"/>
      <c r="F5" s="23" t="s">
        <v>293</v>
      </c>
      <c r="G5" s="23" t="s">
        <v>293</v>
      </c>
      <c r="H5" s="23" t="s">
        <v>294</v>
      </c>
      <c r="I5" s="23" t="s">
        <v>295</v>
      </c>
      <c r="J5" s="23" t="s">
        <v>294</v>
      </c>
      <c r="K5" s="23" t="s">
        <v>296</v>
      </c>
      <c r="L5" s="23" t="s">
        <v>294</v>
      </c>
      <c r="M5" s="23" t="s">
        <v>204</v>
      </c>
    </row>
    <row r="6" spans="1:14" s="27" customFormat="1" ht="10.199999999999999" x14ac:dyDescent="0.2">
      <c r="A6" s="25"/>
      <c r="B6" s="25" t="s">
        <v>297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s="32" customFormat="1" ht="10.199999999999999" x14ac:dyDescent="0.2">
      <c r="A7" s="28" t="s">
        <v>298</v>
      </c>
      <c r="B7" s="28" t="s">
        <v>299</v>
      </c>
      <c r="C7" s="29">
        <v>0</v>
      </c>
      <c r="D7" s="29"/>
      <c r="E7" s="29">
        <f>1.524*0.762*C7</f>
        <v>0</v>
      </c>
      <c r="F7" s="30">
        <f>PRODUCT(0.5,C7)</f>
        <v>0</v>
      </c>
      <c r="G7" s="30">
        <f>PRODUCT(0.7,C7)</f>
        <v>0</v>
      </c>
      <c r="H7" s="31" t="s">
        <v>300</v>
      </c>
      <c r="I7" s="30">
        <f>PRODUCT(4.572,C7,0.15)</f>
        <v>0</v>
      </c>
      <c r="J7" s="30">
        <f>PRODUCT(6.64,C7)</f>
        <v>0</v>
      </c>
      <c r="K7" s="30">
        <f>PRODUCT(4,C7)</f>
        <v>0</v>
      </c>
      <c r="L7" s="31" t="s">
        <v>300</v>
      </c>
      <c r="M7" s="31" t="s">
        <v>300</v>
      </c>
    </row>
    <row r="8" spans="1:14" s="32" customFormat="1" ht="10.199999999999999" x14ac:dyDescent="0.2">
      <c r="A8" s="28" t="s">
        <v>301</v>
      </c>
      <c r="B8" s="28" t="s">
        <v>302</v>
      </c>
      <c r="C8" s="29">
        <v>0</v>
      </c>
      <c r="D8" s="29"/>
      <c r="E8" s="29">
        <f>1.68*C8</f>
        <v>0</v>
      </c>
      <c r="F8" s="30">
        <f>PRODUCT(0.45,E8)</f>
        <v>0</v>
      </c>
      <c r="G8" s="30">
        <f>PRODUCT(1.01,C8)</f>
        <v>0</v>
      </c>
      <c r="H8" s="31" t="s">
        <v>300</v>
      </c>
      <c r="I8" s="30">
        <f>PRODUCT(1.52,C8)</f>
        <v>0</v>
      </c>
      <c r="J8" s="30">
        <f>PRODUCT(13.28,C8)</f>
        <v>0</v>
      </c>
      <c r="K8" s="30">
        <f>PRODUCT(8,C8)</f>
        <v>0</v>
      </c>
      <c r="L8" s="31" t="s">
        <v>300</v>
      </c>
      <c r="M8" s="31" t="s">
        <v>300</v>
      </c>
    </row>
    <row r="9" spans="1:14" s="32" customFormat="1" ht="10.199999999999999" x14ac:dyDescent="0.2">
      <c r="A9" s="28"/>
      <c r="B9" s="25" t="s">
        <v>303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4" s="32" customFormat="1" ht="10.199999999999999" x14ac:dyDescent="0.2">
      <c r="A10" s="28" t="s">
        <v>304</v>
      </c>
      <c r="B10" s="28" t="s">
        <v>305</v>
      </c>
      <c r="C10" s="29">
        <v>0</v>
      </c>
      <c r="D10" s="29"/>
      <c r="E10" s="29"/>
      <c r="F10" s="30">
        <f>PRODUCT(C10,2.4)</f>
        <v>0</v>
      </c>
      <c r="G10" s="30">
        <f>PRODUCT(2.7,C10)</f>
        <v>0</v>
      </c>
      <c r="H10" s="31" t="s">
        <v>300</v>
      </c>
      <c r="I10" s="30">
        <f>PRODUCT(C10,1.8)</f>
        <v>0</v>
      </c>
      <c r="J10" s="30">
        <f>PRODUCT(C10,22.2)</f>
        <v>0</v>
      </c>
      <c r="K10" s="30">
        <f>PRODUCT(C10,8)</f>
        <v>0</v>
      </c>
      <c r="L10" s="31" t="s">
        <v>300</v>
      </c>
      <c r="M10" s="31" t="s">
        <v>300</v>
      </c>
      <c r="N10" s="33" t="s">
        <v>300</v>
      </c>
    </row>
    <row r="11" spans="1:14" s="32" customFormat="1" ht="10.199999999999999" x14ac:dyDescent="0.2">
      <c r="A11" s="28" t="s">
        <v>306</v>
      </c>
      <c r="B11" s="28" t="s">
        <v>307</v>
      </c>
      <c r="C11" s="29">
        <v>0</v>
      </c>
      <c r="D11" s="29"/>
      <c r="E11" s="29"/>
      <c r="F11" s="30">
        <f>PRODUCT(2,1,0.85,C11)</f>
        <v>0</v>
      </c>
      <c r="G11" s="30">
        <f>PRODUCT(2,1,1,C11)</f>
        <v>0</v>
      </c>
      <c r="H11" s="31" t="s">
        <v>300</v>
      </c>
      <c r="I11" s="30">
        <f>PRODUCT(6,C11,0.15)</f>
        <v>0</v>
      </c>
      <c r="J11" s="30">
        <f>PRODUCT(16.4,C11)</f>
        <v>0</v>
      </c>
      <c r="K11" s="30">
        <f>PRODUCT(4,C11)</f>
        <v>0</v>
      </c>
      <c r="L11" s="31" t="s">
        <v>300</v>
      </c>
      <c r="M11" s="31" t="s">
        <v>300</v>
      </c>
    </row>
    <row r="12" spans="1:14" s="32" customFormat="1" ht="10.199999999999999" x14ac:dyDescent="0.2">
      <c r="A12" s="28" t="s">
        <v>308</v>
      </c>
      <c r="B12" s="28" t="s">
        <v>309</v>
      </c>
      <c r="C12" s="29">
        <v>0</v>
      </c>
      <c r="D12" s="29"/>
      <c r="E12" s="29"/>
      <c r="F12" s="30">
        <f>PRODUCT(2.6,C12)</f>
        <v>0</v>
      </c>
      <c r="G12" s="30">
        <f>PRODUCT(3,C12)</f>
        <v>0</v>
      </c>
      <c r="H12" s="31" t="s">
        <v>300</v>
      </c>
      <c r="I12" s="30">
        <f>PRODUCT(C12,4,1.6,0.15)</f>
        <v>0</v>
      </c>
      <c r="J12" s="30">
        <f>PRODUCT(4.8,C12)</f>
        <v>0</v>
      </c>
      <c r="K12" s="30">
        <f>PRODUCT(4,C12)</f>
        <v>0</v>
      </c>
      <c r="L12" s="31" t="s">
        <v>300</v>
      </c>
      <c r="M12" s="31" t="s">
        <v>300</v>
      </c>
    </row>
    <row r="13" spans="1:14" s="32" customFormat="1" ht="10.199999999999999" x14ac:dyDescent="0.2">
      <c r="A13" s="28" t="s">
        <v>310</v>
      </c>
      <c r="B13" s="28" t="s">
        <v>311</v>
      </c>
      <c r="C13" s="29">
        <v>0</v>
      </c>
      <c r="D13" s="29"/>
      <c r="E13" s="29">
        <f>C13*3.087</f>
        <v>0</v>
      </c>
      <c r="F13" s="30">
        <f>E13*1</f>
        <v>0</v>
      </c>
      <c r="G13" s="30">
        <f>E13*1.15</f>
        <v>0</v>
      </c>
      <c r="H13" s="31"/>
      <c r="I13" s="30">
        <f>PRODUCT(C13,8.66,0.15)</f>
        <v>0</v>
      </c>
      <c r="J13" s="30">
        <f>PRODUCT(4.18,C13)</f>
        <v>0</v>
      </c>
      <c r="K13" s="30">
        <f>PRODUCT(8,C13)</f>
        <v>0</v>
      </c>
      <c r="L13" s="31"/>
      <c r="M13" s="31"/>
    </row>
    <row r="14" spans="1:14" s="32" customFormat="1" ht="10.199999999999999" x14ac:dyDescent="0.2">
      <c r="A14" s="28" t="s">
        <v>312</v>
      </c>
      <c r="B14" s="28" t="s">
        <v>313</v>
      </c>
      <c r="C14" s="29">
        <v>0</v>
      </c>
      <c r="D14" s="29"/>
      <c r="E14" s="29">
        <f>C14*2.34</f>
        <v>0</v>
      </c>
      <c r="F14" s="30">
        <f>E14*1</f>
        <v>0</v>
      </c>
      <c r="G14" s="30">
        <f>E14*1.15</f>
        <v>0</v>
      </c>
      <c r="H14" s="31"/>
      <c r="I14" s="30">
        <f>C14*7*0.15</f>
        <v>0</v>
      </c>
      <c r="J14" s="30">
        <f>4.18*C14</f>
        <v>0</v>
      </c>
      <c r="K14" s="30">
        <f>8*C14</f>
        <v>0</v>
      </c>
      <c r="L14" s="31"/>
      <c r="M14" s="31"/>
    </row>
    <row r="15" spans="1:14" s="32" customFormat="1" ht="10.199999999999999" x14ac:dyDescent="0.2">
      <c r="A15" s="28"/>
      <c r="B15" s="25" t="s">
        <v>314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</row>
    <row r="16" spans="1:14" s="32" customFormat="1" ht="10.199999999999999" x14ac:dyDescent="0.2">
      <c r="A16" s="28" t="s">
        <v>315</v>
      </c>
      <c r="B16" s="28" t="s">
        <v>316</v>
      </c>
      <c r="C16" s="29">
        <v>0</v>
      </c>
      <c r="D16" s="29"/>
      <c r="E16" s="29">
        <f>1.44*C16</f>
        <v>0</v>
      </c>
      <c r="F16" s="30">
        <f>0.25*E16</f>
        <v>0</v>
      </c>
      <c r="G16" s="30">
        <f>0.7*E16</f>
        <v>0</v>
      </c>
      <c r="H16" s="31" t="s">
        <v>300</v>
      </c>
      <c r="I16" s="30">
        <f>4.86*C16</f>
        <v>0</v>
      </c>
      <c r="J16" s="31" t="s">
        <v>300</v>
      </c>
      <c r="K16" s="31" t="s">
        <v>300</v>
      </c>
      <c r="L16" s="30">
        <f>42.1*C16</f>
        <v>0</v>
      </c>
      <c r="M16" s="31" t="s">
        <v>300</v>
      </c>
    </row>
    <row r="17" spans="1:14" s="32" customFormat="1" ht="10.199999999999999" x14ac:dyDescent="0.2">
      <c r="A17" s="28" t="s">
        <v>317</v>
      </c>
      <c r="B17" s="28" t="s">
        <v>318</v>
      </c>
      <c r="C17" s="29">
        <v>0</v>
      </c>
      <c r="D17" s="29"/>
      <c r="E17" s="29">
        <f>1.4*C17</f>
        <v>0</v>
      </c>
      <c r="F17" s="30">
        <f>2.28*C17</f>
        <v>0</v>
      </c>
      <c r="G17" s="30">
        <f>1.7*C17</f>
        <v>0</v>
      </c>
      <c r="H17" s="31" t="s">
        <v>300</v>
      </c>
      <c r="I17" s="30">
        <f>1.14*C17</f>
        <v>0</v>
      </c>
      <c r="J17" s="30">
        <f>8.68*C17</f>
        <v>0</v>
      </c>
      <c r="K17" s="30">
        <f>4*C17</f>
        <v>0</v>
      </c>
      <c r="L17" s="30">
        <f>51.1*C17</f>
        <v>0</v>
      </c>
      <c r="M17" s="31" t="s">
        <v>300</v>
      </c>
    </row>
    <row r="18" spans="1:14" s="36" customFormat="1" ht="10.199999999999999" x14ac:dyDescent="0.25">
      <c r="A18" s="34" t="s">
        <v>319</v>
      </c>
      <c r="B18" s="35" t="s">
        <v>320</v>
      </c>
      <c r="C18" s="29">
        <v>0</v>
      </c>
      <c r="D18" s="29"/>
      <c r="E18" s="29">
        <f>C18*0.81</f>
        <v>0</v>
      </c>
      <c r="F18" s="30">
        <f>E18*0.85</f>
        <v>0</v>
      </c>
      <c r="G18" s="30">
        <f>E18*1</f>
        <v>0</v>
      </c>
      <c r="H18" s="31"/>
      <c r="I18" s="30">
        <f>PRODUCT(0.15,0.9,4,C18)</f>
        <v>0</v>
      </c>
      <c r="J18" s="30">
        <f>PRODUCT(8.68,C18)</f>
        <v>0</v>
      </c>
      <c r="K18" s="30">
        <f>PRODUCT(4,C18)</f>
        <v>0</v>
      </c>
      <c r="L18" s="31"/>
      <c r="M18" s="31"/>
    </row>
    <row r="19" spans="1:14" s="36" customFormat="1" ht="10.199999999999999" x14ac:dyDescent="0.25">
      <c r="A19" s="34" t="s">
        <v>321</v>
      </c>
      <c r="B19" s="35" t="s">
        <v>322</v>
      </c>
      <c r="C19" s="29">
        <v>1</v>
      </c>
      <c r="D19" s="29"/>
      <c r="E19" s="29">
        <f>C19*0.81</f>
        <v>0.81</v>
      </c>
      <c r="F19" s="30">
        <f>E19*0.85</f>
        <v>0.6885</v>
      </c>
      <c r="G19" s="30">
        <f>E19*1</f>
        <v>0.81</v>
      </c>
      <c r="H19" s="31"/>
      <c r="I19" s="30">
        <f>PRODUCT(0.15,0.9,4,C19)</f>
        <v>0.54</v>
      </c>
      <c r="J19" s="30">
        <f>PRODUCT(8.68,C19)</f>
        <v>8.68</v>
      </c>
      <c r="K19" s="30">
        <f>PRODUCT(4,C19)</f>
        <v>4</v>
      </c>
      <c r="L19" s="31"/>
      <c r="M19" s="31"/>
    </row>
    <row r="20" spans="1:14" s="36" customFormat="1" ht="10.199999999999999" x14ac:dyDescent="0.25">
      <c r="A20" s="34" t="s">
        <v>323</v>
      </c>
      <c r="B20" s="35" t="s">
        <v>324</v>
      </c>
      <c r="C20" s="29">
        <v>0</v>
      </c>
      <c r="D20" s="29"/>
      <c r="E20" s="29">
        <f>C20*1.49</f>
        <v>0</v>
      </c>
      <c r="F20" s="30">
        <f>E20*1.85</f>
        <v>0</v>
      </c>
      <c r="G20" s="30">
        <f>E20*2</f>
        <v>0</v>
      </c>
      <c r="H20" s="31"/>
      <c r="I20" s="30">
        <f>PRODUCT(0.15,4.88,C20)</f>
        <v>0</v>
      </c>
      <c r="J20" s="30">
        <f>C20*57.2</f>
        <v>0</v>
      </c>
      <c r="K20" s="30">
        <f>8*C20</f>
        <v>0</v>
      </c>
      <c r="L20" s="30">
        <f>C20*64.25</f>
        <v>0</v>
      </c>
      <c r="M20" s="31"/>
    </row>
    <row r="21" spans="1:14" s="39" customFormat="1" ht="20.399999999999999" x14ac:dyDescent="0.25">
      <c r="A21" s="34" t="s">
        <v>325</v>
      </c>
      <c r="B21" s="35" t="s">
        <v>326</v>
      </c>
      <c r="C21" s="37">
        <v>2</v>
      </c>
      <c r="D21" s="37"/>
      <c r="E21" s="37">
        <f>C21*1</f>
        <v>2</v>
      </c>
      <c r="F21" s="38">
        <f>PRODUCT(0.5,E21)</f>
        <v>1</v>
      </c>
      <c r="G21" s="38">
        <f>E21*0.65</f>
        <v>1.3</v>
      </c>
      <c r="H21" s="31" t="s">
        <v>300</v>
      </c>
      <c r="I21" s="38">
        <f>0.15*4*C21</f>
        <v>1.2</v>
      </c>
      <c r="J21" s="30">
        <f>12.624*C21</f>
        <v>25.248000000000001</v>
      </c>
      <c r="K21" s="30">
        <f>PRODUCT(4,C21)</f>
        <v>8</v>
      </c>
      <c r="L21" s="38">
        <f>PRODUCT(3.3,C21)</f>
        <v>6.6</v>
      </c>
      <c r="M21" s="31" t="s">
        <v>300</v>
      </c>
    </row>
    <row r="22" spans="1:14" s="39" customFormat="1" ht="10.199999999999999" x14ac:dyDescent="0.25">
      <c r="A22" s="34" t="s">
        <v>327</v>
      </c>
      <c r="B22" s="35" t="s">
        <v>328</v>
      </c>
      <c r="C22" s="37">
        <v>1</v>
      </c>
      <c r="D22" s="37"/>
      <c r="E22" s="37">
        <f>C22*1.5*1.2</f>
        <v>1.7999999999999998</v>
      </c>
      <c r="F22" s="38">
        <f>C22*0.9</f>
        <v>0.9</v>
      </c>
      <c r="G22" s="38">
        <f>C22*0.9</f>
        <v>0.9</v>
      </c>
      <c r="H22" s="31"/>
      <c r="I22" s="38">
        <f>1.62*C22</f>
        <v>1.62</v>
      </c>
      <c r="J22" s="30">
        <f>8.72*C22</f>
        <v>8.7200000000000006</v>
      </c>
      <c r="K22" s="30">
        <f>PRODUCT(4,C22)</f>
        <v>4</v>
      </c>
      <c r="L22" s="40"/>
      <c r="M22" s="31"/>
    </row>
    <row r="23" spans="1:14" s="39" customFormat="1" x14ac:dyDescent="0.25">
      <c r="A23" s="34"/>
      <c r="B23" s="35"/>
      <c r="C23" s="41" t="s">
        <v>329</v>
      </c>
      <c r="D23" s="42"/>
      <c r="E23" s="71">
        <f>SUM(E7:E22)+SUM(E25:E31)</f>
        <v>54.510000000000005</v>
      </c>
      <c r="F23" s="43"/>
      <c r="G23" s="43"/>
      <c r="H23" s="44"/>
      <c r="I23" s="43"/>
      <c r="J23" s="44"/>
      <c r="K23" s="44"/>
      <c r="L23" s="45"/>
      <c r="M23" s="44"/>
    </row>
    <row r="24" spans="1:14" s="39" customFormat="1" ht="10.199999999999999" x14ac:dyDescent="0.25">
      <c r="A24" s="34"/>
      <c r="B24" s="26" t="s">
        <v>330</v>
      </c>
      <c r="C24" s="37"/>
      <c r="D24" s="37"/>
      <c r="E24" s="46" t="s">
        <v>331</v>
      </c>
      <c r="F24" s="37"/>
      <c r="G24" s="37"/>
      <c r="H24" s="29"/>
      <c r="I24" s="37"/>
      <c r="J24" s="29"/>
      <c r="K24" s="29"/>
      <c r="L24" s="37"/>
      <c r="M24" s="29"/>
    </row>
    <row r="25" spans="1:14" s="39" customFormat="1" ht="10.199999999999999" x14ac:dyDescent="0.25">
      <c r="A25" s="34" t="s">
        <v>332</v>
      </c>
      <c r="B25" s="35" t="s">
        <v>385</v>
      </c>
      <c r="C25" s="37">
        <v>1</v>
      </c>
      <c r="D25" s="37"/>
      <c r="E25" s="47">
        <v>34.6</v>
      </c>
      <c r="F25" s="31" t="s">
        <v>300</v>
      </c>
      <c r="G25" s="38">
        <f>PRODUCT(0.1,C25,E25)</f>
        <v>3.4600000000000004</v>
      </c>
      <c r="H25" s="31" t="s">
        <v>300</v>
      </c>
      <c r="I25" s="31" t="s">
        <v>300</v>
      </c>
      <c r="J25" s="31" t="s">
        <v>300</v>
      </c>
      <c r="K25" s="31" t="s">
        <v>300</v>
      </c>
      <c r="L25" s="31" t="s">
        <v>300</v>
      </c>
      <c r="M25" s="31" t="s">
        <v>300</v>
      </c>
    </row>
    <row r="26" spans="1:14" s="39" customFormat="1" ht="10.199999999999999" x14ac:dyDescent="0.25">
      <c r="A26" s="34" t="s">
        <v>333</v>
      </c>
      <c r="B26" s="35" t="s">
        <v>334</v>
      </c>
      <c r="C26" s="37">
        <v>0</v>
      </c>
      <c r="D26" s="37"/>
      <c r="E26" s="47">
        <v>0</v>
      </c>
      <c r="F26" s="38">
        <f>PRODUCT(0.15,E26,C26)</f>
        <v>0</v>
      </c>
      <c r="G26" s="38">
        <f>PRODUCT(0.25,E26,C26)</f>
        <v>0</v>
      </c>
      <c r="H26" s="31" t="s">
        <v>300</v>
      </c>
      <c r="I26" s="47">
        <f>PRODUCT(0.52,C26)</f>
        <v>0</v>
      </c>
      <c r="J26" s="31" t="s">
        <v>300</v>
      </c>
      <c r="K26" s="31" t="s">
        <v>300</v>
      </c>
      <c r="L26" s="47">
        <f>PRODUCT(6.17,2,C26,E26)</f>
        <v>0</v>
      </c>
      <c r="M26" s="31" t="s">
        <v>300</v>
      </c>
    </row>
    <row r="27" spans="1:14" s="39" customFormat="1" ht="10.199999999999999" x14ac:dyDescent="0.25">
      <c r="A27" s="34" t="s">
        <v>333</v>
      </c>
      <c r="B27" s="35" t="s">
        <v>335</v>
      </c>
      <c r="C27" s="37">
        <v>0</v>
      </c>
      <c r="D27" s="37"/>
      <c r="E27" s="47">
        <v>0</v>
      </c>
      <c r="F27" s="38">
        <f>PRODUCT(0.1,E27,C27)</f>
        <v>0</v>
      </c>
      <c r="G27" s="38">
        <f>PRODUCT(0.2,E27,C27)</f>
        <v>0</v>
      </c>
      <c r="H27" s="31" t="s">
        <v>300</v>
      </c>
      <c r="I27" s="47">
        <f>PRODUCT(0.18,G27)</f>
        <v>0</v>
      </c>
      <c r="J27" s="31" t="s">
        <v>300</v>
      </c>
      <c r="K27" s="31" t="s">
        <v>300</v>
      </c>
      <c r="L27" s="31" t="s">
        <v>300</v>
      </c>
      <c r="M27" s="31" t="s">
        <v>300</v>
      </c>
    </row>
    <row r="28" spans="1:14" s="39" customFormat="1" ht="10.199999999999999" x14ac:dyDescent="0.25">
      <c r="A28" s="34"/>
      <c r="B28" s="35" t="s">
        <v>380</v>
      </c>
      <c r="C28" s="37">
        <v>34</v>
      </c>
      <c r="D28" s="70" t="s">
        <v>382</v>
      </c>
      <c r="E28" s="47">
        <f>C28*0.45</f>
        <v>15.3</v>
      </c>
      <c r="F28" s="38">
        <f>E28*0.45</f>
        <v>6.8850000000000007</v>
      </c>
      <c r="G28" s="38">
        <f>0.45*0.25*C28</f>
        <v>3.8250000000000002</v>
      </c>
      <c r="H28" s="31"/>
      <c r="I28" s="47"/>
      <c r="J28" s="31"/>
      <c r="K28" s="31"/>
      <c r="L28" s="31"/>
      <c r="M28" s="31"/>
      <c r="N28" s="39">
        <f>(C28*C29)*100</f>
        <v>1360.0000000000002</v>
      </c>
    </row>
    <row r="29" spans="1:14" s="39" customFormat="1" ht="10.199999999999999" x14ac:dyDescent="0.25">
      <c r="A29" s="34"/>
      <c r="B29" s="35"/>
      <c r="C29" s="37">
        <v>0.4</v>
      </c>
      <c r="D29" s="37" t="s">
        <v>383</v>
      </c>
      <c r="E29" s="47"/>
      <c r="F29" s="38"/>
      <c r="G29" s="38"/>
      <c r="H29" s="31"/>
      <c r="I29" s="47"/>
      <c r="J29" s="31"/>
      <c r="K29" s="31"/>
      <c r="L29" s="31"/>
      <c r="M29" s="31"/>
    </row>
    <row r="30" spans="1:14" s="39" customFormat="1" ht="10.199999999999999" x14ac:dyDescent="0.25">
      <c r="A30" s="34"/>
      <c r="B30" s="35" t="s">
        <v>384</v>
      </c>
      <c r="C30" s="37">
        <v>15</v>
      </c>
      <c r="D30" s="37" t="s">
        <v>382</v>
      </c>
      <c r="E30" s="47"/>
      <c r="F30" s="38">
        <v>0.5</v>
      </c>
      <c r="G30" s="38"/>
      <c r="H30" s="31"/>
      <c r="I30" s="47"/>
      <c r="J30" s="31"/>
      <c r="K30" s="31"/>
      <c r="L30" s="31"/>
      <c r="M30" s="31"/>
    </row>
    <row r="31" spans="1:14" s="39" customFormat="1" ht="10.199999999999999" x14ac:dyDescent="0.25">
      <c r="A31" s="34"/>
      <c r="B31" s="35"/>
      <c r="C31" s="37"/>
      <c r="D31" s="37"/>
      <c r="E31" s="47"/>
      <c r="F31" s="38"/>
      <c r="G31" s="38"/>
      <c r="H31" s="31"/>
      <c r="I31" s="47"/>
      <c r="J31" s="31"/>
      <c r="K31" s="31"/>
      <c r="L31" s="31"/>
      <c r="M31" s="31"/>
    </row>
    <row r="32" spans="1:14" s="39" customFormat="1" ht="10.199999999999999" x14ac:dyDescent="0.25">
      <c r="A32" s="34"/>
      <c r="B32" s="48" t="s">
        <v>336</v>
      </c>
      <c r="C32" s="37"/>
      <c r="D32" s="37"/>
      <c r="E32" s="37"/>
      <c r="F32" s="37"/>
      <c r="G32" s="37"/>
      <c r="H32" s="29"/>
      <c r="I32" s="37"/>
      <c r="J32" s="29"/>
      <c r="K32" s="29"/>
      <c r="L32" s="37"/>
      <c r="M32" s="29"/>
    </row>
    <row r="33" spans="1:13" s="32" customFormat="1" ht="10.199999999999999" x14ac:dyDescent="0.2">
      <c r="A33" s="28" t="s">
        <v>337</v>
      </c>
      <c r="B33" s="28" t="s">
        <v>338</v>
      </c>
      <c r="C33" s="29">
        <v>195</v>
      </c>
      <c r="D33" s="29"/>
      <c r="E33" s="30"/>
      <c r="F33" s="30">
        <f>PRODUCT(0.3,0.125,C33)</f>
        <v>7.3125</v>
      </c>
      <c r="G33" s="30">
        <f>PRODUCT(0.3,0.05,C33)</f>
        <v>2.9249999999999998</v>
      </c>
      <c r="H33" s="30">
        <f>PRODUCT(25,C33)</f>
        <v>4875</v>
      </c>
      <c r="I33" s="31" t="s">
        <v>300</v>
      </c>
      <c r="J33" s="31" t="s">
        <v>300</v>
      </c>
      <c r="K33" s="31" t="s">
        <v>300</v>
      </c>
      <c r="L33" s="31" t="s">
        <v>300</v>
      </c>
      <c r="M33" s="31" t="s">
        <v>300</v>
      </c>
    </row>
    <row r="34" spans="1:13" s="32" customFormat="1" ht="10.199999999999999" x14ac:dyDescent="0.2">
      <c r="A34" s="28" t="s">
        <v>339</v>
      </c>
      <c r="B34" s="28" t="s">
        <v>340</v>
      </c>
      <c r="C34" s="29">
        <v>0</v>
      </c>
      <c r="D34" s="30">
        <f>PRODUCT(C34,2)+1</f>
        <v>1</v>
      </c>
      <c r="E34" s="30"/>
      <c r="F34" s="30">
        <f>PRODUCT(0.3,0.2,C34)</f>
        <v>0</v>
      </c>
      <c r="G34" s="49">
        <f>PRODUCT(0.3,0.0008772,C34)</f>
        <v>0</v>
      </c>
      <c r="H34" s="30">
        <f>PRODUCT(67,C34)</f>
        <v>0</v>
      </c>
      <c r="I34" s="31" t="s">
        <v>300</v>
      </c>
      <c r="J34" s="31" t="s">
        <v>300</v>
      </c>
      <c r="K34" s="31" t="s">
        <v>300</v>
      </c>
      <c r="L34" s="31" t="s">
        <v>300</v>
      </c>
      <c r="M34" s="31" t="s">
        <v>300</v>
      </c>
    </row>
    <row r="35" spans="1:13" s="32" customFormat="1" ht="10.199999999999999" x14ac:dyDescent="0.2">
      <c r="A35" s="28" t="s">
        <v>341</v>
      </c>
      <c r="B35" s="28" t="s">
        <v>342</v>
      </c>
      <c r="C35" s="29">
        <v>79</v>
      </c>
      <c r="D35" s="29"/>
      <c r="E35" s="30"/>
      <c r="F35" s="30">
        <f>PRODUCT(0.5,0.1,C35)</f>
        <v>3.95</v>
      </c>
      <c r="G35" s="30">
        <f>PRODUCT(0.5,0.05,C35)</f>
        <v>1.9750000000000001</v>
      </c>
      <c r="H35" s="30">
        <f>PRODUCT(110,C35)</f>
        <v>8690</v>
      </c>
      <c r="I35" s="31" t="s">
        <v>300</v>
      </c>
      <c r="J35" s="31" t="s">
        <v>300</v>
      </c>
      <c r="K35" s="31" t="s">
        <v>300</v>
      </c>
      <c r="L35" s="31" t="s">
        <v>300</v>
      </c>
      <c r="M35" s="31" t="s">
        <v>300</v>
      </c>
    </row>
    <row r="36" spans="1:13" s="32" customFormat="1" ht="10.199999999999999" x14ac:dyDescent="0.2">
      <c r="A36" s="28"/>
      <c r="B36" s="28" t="s">
        <v>343</v>
      </c>
      <c r="C36" s="30">
        <f>PRODUCT(D36,3.333)</f>
        <v>0</v>
      </c>
      <c r="D36" s="30">
        <f>SUM(C34,D37)</f>
        <v>0</v>
      </c>
      <c r="E36" s="31" t="s">
        <v>300</v>
      </c>
      <c r="F36" s="31" t="s">
        <v>300</v>
      </c>
      <c r="G36" s="31" t="s">
        <v>300</v>
      </c>
      <c r="H36" s="31" t="s">
        <v>300</v>
      </c>
      <c r="I36" s="31"/>
      <c r="J36" s="31"/>
      <c r="K36" s="31"/>
      <c r="L36" s="31"/>
      <c r="M36" s="31"/>
    </row>
    <row r="37" spans="1:13" s="32" customFormat="1" ht="10.199999999999999" x14ac:dyDescent="0.2">
      <c r="A37" s="28"/>
      <c r="B37" s="28" t="s">
        <v>344</v>
      </c>
      <c r="C37" s="29">
        <v>0</v>
      </c>
      <c r="D37" s="50">
        <f>PRODUCT(-C37,0.74)</f>
        <v>0</v>
      </c>
      <c r="E37" s="31"/>
      <c r="F37" s="31"/>
      <c r="G37" s="31"/>
      <c r="H37" s="31"/>
      <c r="I37" s="31"/>
      <c r="J37" s="31"/>
      <c r="K37" s="31"/>
      <c r="L37" s="31"/>
      <c r="M37" s="31"/>
    </row>
    <row r="38" spans="1:13" s="32" customFormat="1" ht="10.199999999999999" x14ac:dyDescent="0.2">
      <c r="A38" s="28"/>
      <c r="B38" s="28" t="s">
        <v>345</v>
      </c>
      <c r="C38" s="29">
        <v>0</v>
      </c>
      <c r="D38" s="29"/>
      <c r="E38" s="30"/>
      <c r="F38" s="30">
        <f>PRODUCT(0.45,C38)</f>
        <v>0</v>
      </c>
      <c r="G38" s="31" t="s">
        <v>300</v>
      </c>
      <c r="H38" s="31" t="s">
        <v>300</v>
      </c>
      <c r="I38" s="31" t="s">
        <v>300</v>
      </c>
      <c r="J38" s="31" t="s">
        <v>300</v>
      </c>
      <c r="K38" s="31" t="s">
        <v>300</v>
      </c>
      <c r="L38" s="31" t="s">
        <v>300</v>
      </c>
      <c r="M38" s="51"/>
    </row>
    <row r="39" spans="1:13" s="32" customFormat="1" ht="10.199999999999999" x14ac:dyDescent="0.2">
      <c r="A39" s="28"/>
      <c r="B39" s="26" t="s">
        <v>346</v>
      </c>
      <c r="C39" s="29"/>
      <c r="D39" s="29"/>
      <c r="E39" s="52"/>
      <c r="F39" s="29"/>
      <c r="G39" s="51"/>
      <c r="H39" s="51"/>
      <c r="I39" s="51"/>
      <c r="J39" s="51"/>
      <c r="K39" s="51"/>
      <c r="L39" s="51"/>
      <c r="M39" s="51"/>
    </row>
    <row r="40" spans="1:13" s="32" customFormat="1" ht="10.199999999999999" x14ac:dyDescent="0.2">
      <c r="A40" s="28"/>
      <c r="B40" s="28" t="s">
        <v>347</v>
      </c>
      <c r="C40" s="29">
        <v>3.1</v>
      </c>
      <c r="D40" s="29"/>
      <c r="E40" s="29"/>
      <c r="F40" s="29"/>
      <c r="G40" s="31" t="s">
        <v>300</v>
      </c>
      <c r="H40" s="31" t="s">
        <v>300</v>
      </c>
      <c r="I40" s="31" t="s">
        <v>300</v>
      </c>
      <c r="J40" s="31" t="s">
        <v>300</v>
      </c>
      <c r="K40" s="31" t="s">
        <v>300</v>
      </c>
      <c r="L40" s="31" t="s">
        <v>300</v>
      </c>
      <c r="M40" s="31" t="s">
        <v>300</v>
      </c>
    </row>
    <row r="41" spans="1:13" s="32" customFormat="1" ht="10.199999999999999" x14ac:dyDescent="0.2">
      <c r="A41" s="28"/>
      <c r="B41" s="28" t="s">
        <v>348</v>
      </c>
      <c r="C41" s="29">
        <v>200</v>
      </c>
      <c r="D41" s="29"/>
      <c r="E41" s="44"/>
      <c r="F41" s="31" t="s">
        <v>300</v>
      </c>
      <c r="G41" s="31" t="s">
        <v>300</v>
      </c>
      <c r="H41" s="31" t="s">
        <v>300</v>
      </c>
      <c r="I41" s="31" t="s">
        <v>300</v>
      </c>
      <c r="J41" s="31" t="s">
        <v>300</v>
      </c>
      <c r="K41" s="31" t="s">
        <v>300</v>
      </c>
      <c r="L41" s="31" t="s">
        <v>300</v>
      </c>
      <c r="M41" s="31" t="s">
        <v>300</v>
      </c>
    </row>
    <row r="42" spans="1:13" s="32" customFormat="1" ht="10.199999999999999" x14ac:dyDescent="0.2">
      <c r="A42" s="28"/>
      <c r="B42" s="28" t="s">
        <v>349</v>
      </c>
      <c r="C42" s="29">
        <v>0</v>
      </c>
      <c r="D42" s="29"/>
      <c r="E42" s="29"/>
      <c r="F42" s="31" t="s">
        <v>300</v>
      </c>
      <c r="G42" s="31" t="s">
        <v>300</v>
      </c>
      <c r="H42" s="31" t="s">
        <v>300</v>
      </c>
      <c r="I42" s="31" t="s">
        <v>300</v>
      </c>
      <c r="J42" s="31" t="s">
        <v>300</v>
      </c>
      <c r="K42" s="31" t="s">
        <v>300</v>
      </c>
      <c r="L42" s="31" t="s">
        <v>300</v>
      </c>
      <c r="M42" s="31" t="s">
        <v>300</v>
      </c>
    </row>
    <row r="43" spans="1:13" s="32" customFormat="1" ht="10.199999999999999" x14ac:dyDescent="0.2">
      <c r="A43" s="28"/>
      <c r="B43" s="28" t="s">
        <v>350</v>
      </c>
      <c r="C43" s="29">
        <v>0</v>
      </c>
      <c r="D43" s="29"/>
      <c r="E43" s="29"/>
      <c r="F43" s="31" t="s">
        <v>300</v>
      </c>
      <c r="G43" s="31" t="s">
        <v>300</v>
      </c>
      <c r="H43" s="31" t="s">
        <v>300</v>
      </c>
      <c r="I43" s="31" t="s">
        <v>300</v>
      </c>
      <c r="J43" s="31" t="s">
        <v>300</v>
      </c>
      <c r="K43" s="31" t="s">
        <v>300</v>
      </c>
      <c r="L43" s="31" t="s">
        <v>300</v>
      </c>
      <c r="M43" s="31" t="s">
        <v>300</v>
      </c>
    </row>
    <row r="44" spans="1:13" s="32" customFormat="1" ht="10.199999999999999" x14ac:dyDescent="0.2">
      <c r="A44" s="28"/>
      <c r="B44" s="28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1:13" s="27" customFormat="1" ht="10.199999999999999" x14ac:dyDescent="0.2">
      <c r="A45" s="25"/>
      <c r="B45" s="25" t="s">
        <v>351</v>
      </c>
      <c r="C45" s="54">
        <v>0</v>
      </c>
      <c r="D45" s="54"/>
      <c r="E45" s="54"/>
      <c r="F45" s="55">
        <f t="shared" ref="F45:M45" si="0">SUM(F7:F43)</f>
        <v>21.236000000000001</v>
      </c>
      <c r="G45" s="55">
        <f t="shared" si="0"/>
        <v>15.195000000000002</v>
      </c>
      <c r="H45" s="55">
        <f t="shared" si="0"/>
        <v>13565</v>
      </c>
      <c r="I45" s="55">
        <f t="shared" si="0"/>
        <v>3.3600000000000003</v>
      </c>
      <c r="J45" s="55">
        <f t="shared" si="0"/>
        <v>42.647999999999996</v>
      </c>
      <c r="K45" s="55">
        <f t="shared" si="0"/>
        <v>16</v>
      </c>
      <c r="L45" s="55">
        <f t="shared" si="0"/>
        <v>6.6</v>
      </c>
      <c r="M45" s="55">
        <f t="shared" si="0"/>
        <v>0</v>
      </c>
    </row>
    <row r="46" spans="1:13" s="32" customFormat="1" ht="10.199999999999999" x14ac:dyDescent="0.2"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</row>
    <row r="47" spans="1:13" s="32" customFormat="1" ht="10.199999999999999" x14ac:dyDescent="0.2"/>
    <row r="48" spans="1:13" s="32" customFormat="1" ht="10.199999999999999" x14ac:dyDescent="0.2"/>
  </sheetData>
  <phoneticPr fontId="19" type="noConversion"/>
  <pageMargins left="0.75" right="0.75" top="1" bottom="1" header="0.5" footer="0.5"/>
  <pageSetup scale="70" orientation="landscape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1"/>
  <dimension ref="A1:M22"/>
  <sheetViews>
    <sheetView topLeftCell="B3" workbookViewId="0">
      <selection activeCell="G30" sqref="G30"/>
    </sheetView>
  </sheetViews>
  <sheetFormatPr defaultColWidth="9.109375" defaultRowHeight="10.199999999999999" x14ac:dyDescent="0.2"/>
  <cols>
    <col min="1" max="1" width="13.44140625" style="32" bestFit="1" customWidth="1"/>
    <col min="2" max="2" width="22.5546875" style="32" bestFit="1" customWidth="1"/>
    <col min="3" max="3" width="13.33203125" style="32" customWidth="1"/>
    <col min="4" max="4" width="8.33203125" style="32" customWidth="1"/>
    <col min="5" max="5" width="8.88671875" style="32" customWidth="1"/>
    <col min="6" max="6" width="8.5546875" style="32" customWidth="1"/>
    <col min="7" max="7" width="6.88671875" style="32" customWidth="1"/>
    <col min="8" max="8" width="8.109375" style="32" customWidth="1"/>
    <col min="9" max="9" width="6.44140625" style="32" customWidth="1"/>
    <col min="10" max="16384" width="9.109375" style="32"/>
  </cols>
  <sheetData>
    <row r="1" spans="1:13" s="27" customFormat="1" ht="11.25" customHeight="1" x14ac:dyDescent="0.2">
      <c r="A1" s="25" t="s">
        <v>284</v>
      </c>
      <c r="B1" s="25" t="s">
        <v>244</v>
      </c>
      <c r="C1" s="704" t="s">
        <v>352</v>
      </c>
      <c r="D1" s="704" t="s">
        <v>353</v>
      </c>
      <c r="E1" s="706" t="s">
        <v>354</v>
      </c>
      <c r="F1" s="704" t="s">
        <v>355</v>
      </c>
      <c r="G1" s="704" t="s">
        <v>356</v>
      </c>
      <c r="H1" s="702" t="s">
        <v>357</v>
      </c>
      <c r="I1" s="702" t="s">
        <v>358</v>
      </c>
      <c r="J1" s="704" t="s">
        <v>359</v>
      </c>
      <c r="K1" s="27" t="s">
        <v>360</v>
      </c>
    </row>
    <row r="2" spans="1:13" x14ac:dyDescent="0.2">
      <c r="A2" s="28"/>
      <c r="B2" s="28"/>
      <c r="C2" s="705"/>
      <c r="D2" s="705"/>
      <c r="E2" s="707"/>
      <c r="F2" s="705"/>
      <c r="G2" s="705"/>
      <c r="H2" s="703"/>
      <c r="I2" s="703"/>
      <c r="J2" s="705"/>
    </row>
    <row r="3" spans="1:13" x14ac:dyDescent="0.2">
      <c r="A3" s="28"/>
      <c r="B3" s="28"/>
      <c r="C3" s="28"/>
      <c r="D3" s="28"/>
      <c r="E3" s="28"/>
      <c r="F3" s="28"/>
      <c r="G3" s="28"/>
      <c r="H3" s="57"/>
      <c r="I3" s="57"/>
      <c r="J3" s="28"/>
      <c r="K3" s="28"/>
    </row>
    <row r="4" spans="1:13" s="62" customFormat="1" x14ac:dyDescent="0.2">
      <c r="A4" s="28" t="s">
        <v>361</v>
      </c>
      <c r="B4" s="28" t="s">
        <v>362</v>
      </c>
      <c r="C4" s="58">
        <v>0</v>
      </c>
      <c r="D4" s="58">
        <v>0</v>
      </c>
      <c r="E4" s="59">
        <f t="shared" ref="E4:E16" si="0">SUM(G4,I4)</f>
        <v>0</v>
      </c>
      <c r="F4" s="59">
        <f>PRODUCT(0.84,C4)</f>
        <v>0</v>
      </c>
      <c r="G4" s="59">
        <f>PRODUCT(0.75,C4)</f>
        <v>0</v>
      </c>
      <c r="H4" s="59">
        <f>PRODUCT(2.8,0.9,0.25,D4)</f>
        <v>0</v>
      </c>
      <c r="I4" s="58">
        <f>PRODUCT(2.8,0.9,0.1,D4)</f>
        <v>0</v>
      </c>
      <c r="J4" s="59">
        <f>PRODUCT(4,D4)</f>
        <v>0</v>
      </c>
      <c r="K4" s="60">
        <f t="shared" ref="K4:K17" si="1">SUM(F4,H4)</f>
        <v>0</v>
      </c>
      <c r="L4" s="61"/>
      <c r="M4" s="61"/>
    </row>
    <row r="5" spans="1:13" x14ac:dyDescent="0.2">
      <c r="A5" s="28" t="s">
        <v>361</v>
      </c>
      <c r="B5" s="28" t="s">
        <v>363</v>
      </c>
      <c r="C5" s="58">
        <v>0</v>
      </c>
      <c r="D5" s="58">
        <v>0</v>
      </c>
      <c r="E5" s="59">
        <f t="shared" si="0"/>
        <v>0</v>
      </c>
      <c r="F5" s="59">
        <f>PRODUCT(1,0.6,1.6,C5)</f>
        <v>0</v>
      </c>
      <c r="G5" s="59">
        <f>PRODUCT(0.6,1.6,0.85,C5)</f>
        <v>0</v>
      </c>
      <c r="H5" s="59">
        <f>PRODUCT(0.25,0.6,1.6,D5)</f>
        <v>0</v>
      </c>
      <c r="I5" s="58">
        <f>PRODUCT(0.1,0.6,1.6,D5)</f>
        <v>0</v>
      </c>
      <c r="J5" s="59">
        <f>PRODUCT(4,D5)</f>
        <v>0</v>
      </c>
      <c r="K5" s="60">
        <f t="shared" si="1"/>
        <v>0</v>
      </c>
    </row>
    <row r="6" spans="1:13" x14ac:dyDescent="0.2">
      <c r="A6" s="28" t="s">
        <v>361</v>
      </c>
      <c r="B6" s="28" t="s">
        <v>364</v>
      </c>
      <c r="C6" s="63">
        <v>0</v>
      </c>
      <c r="D6" s="63">
        <v>0</v>
      </c>
      <c r="E6" s="59">
        <f t="shared" si="0"/>
        <v>0</v>
      </c>
      <c r="F6" s="64">
        <f>PRODUCT(3,1.6,0.75,C6)</f>
        <v>0</v>
      </c>
      <c r="G6" s="64">
        <f>PRODUCT(3,1.6,0.6,C6)</f>
        <v>0</v>
      </c>
      <c r="H6" s="64">
        <f>PRODUCT(3,1.6,0.25,D6)</f>
        <v>0</v>
      </c>
      <c r="I6" s="63">
        <f>PRODUCT(3,1.6,0.1,D6)</f>
        <v>0</v>
      </c>
      <c r="J6" s="65" t="s">
        <v>300</v>
      </c>
      <c r="K6" s="60">
        <f t="shared" si="1"/>
        <v>0</v>
      </c>
    </row>
    <row r="7" spans="1:13" x14ac:dyDescent="0.2">
      <c r="A7" s="28" t="s">
        <v>361</v>
      </c>
      <c r="B7" s="28" t="s">
        <v>365</v>
      </c>
      <c r="C7" s="63">
        <v>0</v>
      </c>
      <c r="D7" s="63">
        <v>0</v>
      </c>
      <c r="E7" s="59">
        <f t="shared" si="0"/>
        <v>0</v>
      </c>
      <c r="F7" s="66">
        <f>PRODUCT(0.6,0.7,0.9,C7)</f>
        <v>0</v>
      </c>
      <c r="G7" s="64">
        <f>PRODUCT(0.6,0.7,0.75,C7)</f>
        <v>0</v>
      </c>
      <c r="H7" s="66">
        <f>PRODUCT(0.6,0.7,0.25,D7)</f>
        <v>0</v>
      </c>
      <c r="I7" s="67">
        <f>PRODUCT(0.6,0.7,0.1,D7)</f>
        <v>0</v>
      </c>
      <c r="J7" s="59">
        <f>PRODUCT(4,D7)</f>
        <v>0</v>
      </c>
      <c r="K7" s="60">
        <f t="shared" si="1"/>
        <v>0</v>
      </c>
    </row>
    <row r="8" spans="1:13" x14ac:dyDescent="0.2">
      <c r="A8" s="28" t="s">
        <v>361</v>
      </c>
      <c r="B8" s="28" t="s">
        <v>366</v>
      </c>
      <c r="C8" s="63">
        <v>0</v>
      </c>
      <c r="D8" s="63">
        <v>0</v>
      </c>
      <c r="E8" s="59">
        <f t="shared" si="0"/>
        <v>0</v>
      </c>
      <c r="F8" s="66">
        <f>PRODUCT(0.6,0.7,0.9,C8)</f>
        <v>0</v>
      </c>
      <c r="G8" s="64">
        <f>PRODUCT(0.6,0.4,0.45,2,C8)</f>
        <v>0</v>
      </c>
      <c r="H8" s="66">
        <f>PRODUCT(0.6,0.7,0.25,D8)</f>
        <v>0</v>
      </c>
      <c r="I8" s="67">
        <f>PRODUCT(0.6,0.7,0.1,D8)</f>
        <v>0</v>
      </c>
      <c r="J8" s="59">
        <f>PRODUCT(4,D8)</f>
        <v>0</v>
      </c>
      <c r="K8" s="60">
        <f t="shared" si="1"/>
        <v>0</v>
      </c>
    </row>
    <row r="9" spans="1:13" x14ac:dyDescent="0.2">
      <c r="A9" s="28"/>
      <c r="B9" s="28" t="s">
        <v>367</v>
      </c>
      <c r="C9" s="63">
        <v>0</v>
      </c>
      <c r="D9" s="63">
        <v>0</v>
      </c>
      <c r="E9" s="59">
        <f t="shared" si="0"/>
        <v>0</v>
      </c>
      <c r="F9" s="66">
        <f>PRODUCT(0,C9)</f>
        <v>0</v>
      </c>
      <c r="G9" s="64">
        <f>PRODUCT(0,C9)</f>
        <v>0</v>
      </c>
      <c r="H9" s="66">
        <f>PRODUCT(0.6,0.6,0.25,D9)</f>
        <v>0</v>
      </c>
      <c r="I9" s="67">
        <f>PRODUCT(0.6,0.6,0.1,D9)</f>
        <v>0</v>
      </c>
      <c r="J9" s="59">
        <f>PRODUCT(4,D9)</f>
        <v>0</v>
      </c>
      <c r="K9" s="60">
        <f t="shared" si="1"/>
        <v>0</v>
      </c>
    </row>
    <row r="10" spans="1:13" x14ac:dyDescent="0.2">
      <c r="A10" s="28"/>
      <c r="B10" s="28" t="s">
        <v>368</v>
      </c>
      <c r="C10" s="63">
        <v>0</v>
      </c>
      <c r="D10" s="63">
        <v>0</v>
      </c>
      <c r="E10" s="59">
        <f t="shared" si="0"/>
        <v>0</v>
      </c>
      <c r="F10" s="66">
        <f>PRODUCT(0,C10)</f>
        <v>0</v>
      </c>
      <c r="G10" s="64">
        <f>PRODUCT(0,C10)</f>
        <v>0</v>
      </c>
      <c r="H10" s="66">
        <f>PRODUCT(0.7,0.7,0.25,D10)</f>
        <v>0</v>
      </c>
      <c r="I10" s="67">
        <f>PRODUCT(0.7,0.7,0.1,D10)</f>
        <v>0</v>
      </c>
      <c r="J10" s="59">
        <f>PRODUCT(4,D10)</f>
        <v>0</v>
      </c>
      <c r="K10" s="60">
        <f t="shared" si="1"/>
        <v>0</v>
      </c>
    </row>
    <row r="11" spans="1:13" x14ac:dyDescent="0.2">
      <c r="A11" s="28"/>
      <c r="B11" s="28" t="s">
        <v>369</v>
      </c>
      <c r="C11" s="58">
        <v>0</v>
      </c>
      <c r="D11" s="58">
        <v>0</v>
      </c>
      <c r="E11" s="59">
        <f t="shared" si="0"/>
        <v>0</v>
      </c>
      <c r="F11" s="59">
        <f>PRODUCT(3.4,C11)</f>
        <v>0</v>
      </c>
      <c r="G11" s="59">
        <f>PRODUCT(1.98,C11)</f>
        <v>0</v>
      </c>
      <c r="H11" s="59">
        <f>PRODUCT(0,D11)</f>
        <v>0</v>
      </c>
      <c r="I11" s="58">
        <f>PRODUCT(0,D11)</f>
        <v>0</v>
      </c>
      <c r="J11" s="59">
        <f>PRODUCT(8,D11)</f>
        <v>0</v>
      </c>
      <c r="K11" s="60">
        <f t="shared" si="1"/>
        <v>0</v>
      </c>
    </row>
    <row r="12" spans="1:13" x14ac:dyDescent="0.2">
      <c r="A12" s="28" t="s">
        <v>370</v>
      </c>
      <c r="B12" s="28" t="s">
        <v>371</v>
      </c>
      <c r="C12" s="58">
        <v>0</v>
      </c>
      <c r="D12" s="58">
        <v>0</v>
      </c>
      <c r="E12" s="59">
        <f t="shared" si="0"/>
        <v>0</v>
      </c>
      <c r="F12" s="59">
        <f>PRODUCT(0.96,C12)</f>
        <v>0</v>
      </c>
      <c r="G12" s="59">
        <f>PRODUCT(0.79,C12)</f>
        <v>0</v>
      </c>
      <c r="H12" s="59">
        <f>PRODUCT(1.5,0.75,0.25,D12)</f>
        <v>0</v>
      </c>
      <c r="I12" s="59">
        <f>PRODUCT(1.5,0.75,0.1,D12)</f>
        <v>0</v>
      </c>
      <c r="J12" s="59">
        <f>PRODUCT(4,D12)</f>
        <v>0</v>
      </c>
      <c r="K12" s="60">
        <f t="shared" si="1"/>
        <v>0</v>
      </c>
    </row>
    <row r="13" spans="1:13" x14ac:dyDescent="0.2">
      <c r="A13" s="28"/>
      <c r="B13" s="28" t="s">
        <v>372</v>
      </c>
      <c r="C13" s="58">
        <v>0</v>
      </c>
      <c r="D13" s="58">
        <v>0</v>
      </c>
      <c r="E13" s="59">
        <f t="shared" si="0"/>
        <v>0</v>
      </c>
      <c r="F13" s="59">
        <f>PRODUCT(2.5,0.7,1,C13)</f>
        <v>0</v>
      </c>
      <c r="G13" s="59">
        <f>PRODUCT(2.5,0.7,0.85,C13)</f>
        <v>0</v>
      </c>
      <c r="H13" s="59">
        <f>PRODUCT(2.5,0.7,0.25,D13)</f>
        <v>0</v>
      </c>
      <c r="I13" s="59">
        <f>PRODUCT(2.5,0.7,0.1,D13)</f>
        <v>0</v>
      </c>
      <c r="J13" s="59">
        <f>PRODUCT(4,D13)</f>
        <v>0</v>
      </c>
      <c r="K13" s="60">
        <f t="shared" si="1"/>
        <v>0</v>
      </c>
    </row>
    <row r="14" spans="1:13" x14ac:dyDescent="0.2">
      <c r="A14" s="28"/>
      <c r="B14" s="28" t="s">
        <v>373</v>
      </c>
      <c r="C14" s="58">
        <v>0</v>
      </c>
      <c r="D14" s="58">
        <v>0</v>
      </c>
      <c r="E14" s="59">
        <f t="shared" si="0"/>
        <v>0</v>
      </c>
      <c r="F14" s="59">
        <f>PRODUCT(2.5,2.5,1,C14)</f>
        <v>0</v>
      </c>
      <c r="G14" s="59">
        <f>PRODUCT(2.5,2.5,0.35,C14)</f>
        <v>0</v>
      </c>
      <c r="H14" s="59">
        <f>PRODUCT(2.5,2.5,0.75,D14)</f>
        <v>0</v>
      </c>
      <c r="I14" s="59">
        <f>PRODUCT(2.5,2.5,0.1,D14)</f>
        <v>0</v>
      </c>
      <c r="J14" s="65" t="s">
        <v>300</v>
      </c>
      <c r="K14" s="60">
        <f t="shared" si="1"/>
        <v>0</v>
      </c>
    </row>
    <row r="15" spans="1:13" x14ac:dyDescent="0.2">
      <c r="A15" s="28" t="s">
        <v>308</v>
      </c>
      <c r="B15" s="28" t="s">
        <v>309</v>
      </c>
      <c r="C15" s="58">
        <v>0</v>
      </c>
      <c r="D15" s="58">
        <v>0</v>
      </c>
      <c r="E15" s="59">
        <f t="shared" si="0"/>
        <v>0</v>
      </c>
      <c r="F15" s="59">
        <f>PRODUCT(3,C15)</f>
        <v>0</v>
      </c>
      <c r="G15" s="59">
        <f>PRODUCT(2.6,C15)</f>
        <v>0</v>
      </c>
      <c r="H15" s="59">
        <f>PRODUCT(1.6,1.6,0.25,D15)</f>
        <v>0</v>
      </c>
      <c r="I15" s="59">
        <f>PRODUCT(1.6,1.6,0.1,D15)</f>
        <v>0</v>
      </c>
      <c r="J15" s="59">
        <f>PRODUCT(4,D15)</f>
        <v>0</v>
      </c>
      <c r="K15" s="60">
        <f t="shared" si="1"/>
        <v>0</v>
      </c>
    </row>
    <row r="16" spans="1:13" s="36" customFormat="1" ht="20.399999999999999" x14ac:dyDescent="0.25">
      <c r="A16" s="34" t="s">
        <v>374</v>
      </c>
      <c r="B16" s="35" t="s">
        <v>322</v>
      </c>
      <c r="C16" s="58">
        <v>0</v>
      </c>
      <c r="D16" s="58">
        <v>4</v>
      </c>
      <c r="E16" s="59">
        <f t="shared" si="0"/>
        <v>0.32400000000000007</v>
      </c>
      <c r="F16" s="59">
        <f>PRODUCT(0.9,0.9,1.15,C16)</f>
        <v>0</v>
      </c>
      <c r="G16" s="59">
        <f>PRODUCT(0.9,0.9,1,C16)</f>
        <v>0</v>
      </c>
      <c r="H16" s="59">
        <f>PRODUCT(0.9,0.9,0.85,D16)</f>
        <v>2.754</v>
      </c>
      <c r="I16" s="58">
        <f>PRODUCT(0.9,0.9,0.1,D16)</f>
        <v>0.32400000000000007</v>
      </c>
      <c r="J16" s="59">
        <f>PRODUCT(4,D16)</f>
        <v>16</v>
      </c>
      <c r="K16" s="60">
        <f t="shared" si="1"/>
        <v>2.754</v>
      </c>
    </row>
    <row r="17" spans="1:11" x14ac:dyDescent="0.2">
      <c r="A17" s="28" t="s">
        <v>375</v>
      </c>
      <c r="B17" s="28"/>
      <c r="C17" s="63">
        <v>0</v>
      </c>
      <c r="D17" s="65" t="s">
        <v>300</v>
      </c>
      <c r="E17" s="64">
        <f>PRODUCT(0.75,0.1,C17)</f>
        <v>0</v>
      </c>
      <c r="F17" s="64">
        <f>PRODUCT(0.75,0.1,C17)</f>
        <v>0</v>
      </c>
      <c r="G17" s="63"/>
      <c r="H17" s="65" t="s">
        <v>300</v>
      </c>
      <c r="I17" s="65"/>
      <c r="J17" s="65" t="s">
        <v>300</v>
      </c>
      <c r="K17" s="60">
        <f t="shared" si="1"/>
        <v>0</v>
      </c>
    </row>
    <row r="18" spans="1:11" x14ac:dyDescent="0.2">
      <c r="A18" s="28" t="s">
        <v>349</v>
      </c>
      <c r="B18" s="28"/>
      <c r="C18" s="63">
        <v>0</v>
      </c>
      <c r="D18" s="65" t="s">
        <v>300</v>
      </c>
      <c r="E18" s="65" t="s">
        <v>300</v>
      </c>
      <c r="F18" s="65" t="s">
        <v>300</v>
      </c>
      <c r="G18" s="65"/>
      <c r="H18" s="65" t="s">
        <v>300</v>
      </c>
      <c r="I18" s="65"/>
      <c r="J18" s="65" t="s">
        <v>300</v>
      </c>
      <c r="K18" s="65" t="s">
        <v>300</v>
      </c>
    </row>
    <row r="19" spans="1:11" x14ac:dyDescent="0.2">
      <c r="A19" s="28" t="s">
        <v>350</v>
      </c>
      <c r="B19" s="28"/>
      <c r="C19" s="63">
        <v>0</v>
      </c>
      <c r="D19" s="65" t="s">
        <v>300</v>
      </c>
      <c r="E19" s="65" t="s">
        <v>300</v>
      </c>
      <c r="F19" s="65" t="s">
        <v>300</v>
      </c>
      <c r="G19" s="65"/>
      <c r="H19" s="65" t="s">
        <v>300</v>
      </c>
      <c r="I19" s="65"/>
      <c r="J19" s="65" t="s">
        <v>300</v>
      </c>
      <c r="K19" s="65" t="s">
        <v>300</v>
      </c>
    </row>
    <row r="20" spans="1:11" x14ac:dyDescent="0.2">
      <c r="A20" s="28" t="s">
        <v>376</v>
      </c>
      <c r="B20" s="28"/>
      <c r="C20" s="63"/>
      <c r="D20" s="63"/>
      <c r="E20" s="66">
        <f>SUM(E4:E19)</f>
        <v>0.32400000000000007</v>
      </c>
      <c r="F20" s="66">
        <f>SUM(F4:F19)</f>
        <v>0</v>
      </c>
      <c r="G20" s="66"/>
      <c r="H20" s="66">
        <f>SUM(H4:H19)</f>
        <v>2.754</v>
      </c>
      <c r="I20" s="66"/>
      <c r="J20" s="64">
        <f>SUM(J4:J19)</f>
        <v>16</v>
      </c>
      <c r="K20" s="68">
        <f>SUM(K4:K19)</f>
        <v>2.754</v>
      </c>
    </row>
    <row r="22" spans="1:11" x14ac:dyDescent="0.2">
      <c r="F22" s="69"/>
      <c r="G22" s="69"/>
    </row>
  </sheetData>
  <mergeCells count="8">
    <mergeCell ref="H1:H2"/>
    <mergeCell ref="F1:F2"/>
    <mergeCell ref="J1:J2"/>
    <mergeCell ref="C1:C2"/>
    <mergeCell ref="D1:D2"/>
    <mergeCell ref="E1:E2"/>
    <mergeCell ref="G1:G2"/>
    <mergeCell ref="I1:I2"/>
  </mergeCells>
  <phoneticPr fontId="19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5" customWidth="1"/>
    <col min="2" max="2" width="8.6640625" style="15" customWidth="1"/>
    <col min="3" max="3" width="15.6640625" style="15" customWidth="1"/>
    <col min="4" max="4" width="55.6640625" style="15" customWidth="1"/>
    <col min="5" max="5" width="6.6640625" style="332" customWidth="1"/>
    <col min="6" max="6" width="8.6640625" style="15" customWidth="1"/>
    <col min="7" max="8" width="12.6640625" style="15" customWidth="1"/>
    <col min="9" max="10" width="12.6640625" style="15" hidden="1" customWidth="1"/>
    <col min="11" max="11" width="12.6640625" style="15" customWidth="1"/>
    <col min="12" max="12" width="9.109375" style="15"/>
    <col min="13" max="13" width="9.109375" style="15" hidden="1" customWidth="1"/>
    <col min="14" max="16384" width="9.109375" style="15"/>
  </cols>
  <sheetData>
    <row r="1" spans="2:13" ht="6" customHeight="1" x14ac:dyDescent="0.25">
      <c r="B1" s="637"/>
      <c r="C1" s="638"/>
      <c r="D1" s="638"/>
      <c r="E1" s="638"/>
      <c r="F1" s="638"/>
      <c r="G1" s="638"/>
      <c r="H1" s="638"/>
      <c r="I1" s="638"/>
      <c r="J1" s="638"/>
      <c r="K1" s="638"/>
    </row>
    <row r="2" spans="2:13" ht="20.100000000000001" customHeight="1" x14ac:dyDescent="0.25">
      <c r="B2" s="641" t="str">
        <f>'Cover sht'!B2</f>
        <v xml:space="preserve">Dimbaza 66/11kV Substation Refurbishment </v>
      </c>
      <c r="C2" s="642"/>
      <c r="D2" s="642"/>
      <c r="E2" s="642"/>
      <c r="F2" s="642"/>
      <c r="G2" s="642"/>
      <c r="H2" s="642"/>
      <c r="I2" s="642"/>
      <c r="J2" s="642"/>
      <c r="K2" s="643"/>
      <c r="L2" s="320"/>
      <c r="M2" s="320"/>
    </row>
    <row r="3" spans="2:13" ht="6" customHeight="1" x14ac:dyDescent="0.25">
      <c r="B3" s="639"/>
      <c r="C3" s="640"/>
      <c r="D3" s="640"/>
      <c r="E3" s="640"/>
      <c r="F3" s="640"/>
      <c r="G3" s="640"/>
      <c r="H3" s="640"/>
      <c r="I3" s="640"/>
      <c r="J3" s="640"/>
      <c r="K3" s="640"/>
    </row>
    <row r="4" spans="2:13" s="320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512" t="s">
        <v>199</v>
      </c>
      <c r="J4" s="321" t="s">
        <v>199</v>
      </c>
      <c r="K4" s="512" t="s">
        <v>221</v>
      </c>
      <c r="L4" s="322"/>
    </row>
    <row r="5" spans="2:13" s="320" customFormat="1" ht="12" customHeight="1" x14ac:dyDescent="0.25">
      <c r="B5" s="645"/>
      <c r="C5" s="647"/>
      <c r="D5" s="645"/>
      <c r="E5" s="645"/>
      <c r="F5" s="645"/>
      <c r="G5" s="645"/>
      <c r="H5" s="645"/>
      <c r="I5" s="323" t="s">
        <v>219</v>
      </c>
      <c r="J5" s="324" t="s">
        <v>220</v>
      </c>
      <c r="K5" s="323" t="s">
        <v>222</v>
      </c>
      <c r="L5" s="322"/>
    </row>
    <row r="6" spans="2:13" s="320" customFormat="1" ht="6" hidden="1" customHeight="1" x14ac:dyDescent="0.25">
      <c r="B6" s="325"/>
      <c r="C6" s="326"/>
      <c r="D6" s="327"/>
      <c r="E6" s="300"/>
      <c r="F6" s="328"/>
      <c r="G6" s="328"/>
      <c r="H6" s="328"/>
      <c r="I6" s="328"/>
      <c r="J6" s="329"/>
      <c r="K6" s="329"/>
    </row>
    <row r="7" spans="2:13" s="80" customFormat="1" ht="12" customHeight="1" x14ac:dyDescent="0.25">
      <c r="B7" s="144" t="s">
        <v>214</v>
      </c>
      <c r="C7" s="145"/>
      <c r="D7" s="330" t="s">
        <v>176</v>
      </c>
      <c r="E7" s="146"/>
      <c r="F7" s="146"/>
      <c r="G7" s="89"/>
      <c r="H7" s="89"/>
      <c r="I7" s="89"/>
      <c r="J7" s="89"/>
      <c r="K7" s="89"/>
    </row>
    <row r="8" spans="2:13" s="80" customFormat="1" ht="12" customHeight="1" x14ac:dyDescent="0.25">
      <c r="B8" s="374">
        <v>1.18</v>
      </c>
      <c r="C8" s="423" t="s">
        <v>868</v>
      </c>
      <c r="D8" s="475" t="s">
        <v>912</v>
      </c>
      <c r="E8" s="369"/>
      <c r="F8" s="500"/>
      <c r="G8" s="100"/>
      <c r="H8" s="477"/>
      <c r="I8" s="477"/>
      <c r="J8" s="477"/>
      <c r="K8" s="477"/>
    </row>
    <row r="9" spans="2:13" s="80" customFormat="1" ht="12" customHeight="1" x14ac:dyDescent="0.25">
      <c r="B9" s="483" t="s">
        <v>1032</v>
      </c>
      <c r="C9" s="443" t="s">
        <v>1033</v>
      </c>
      <c r="D9" s="476" t="s">
        <v>894</v>
      </c>
      <c r="E9" s="370" t="s">
        <v>895</v>
      </c>
      <c r="F9" s="501">
        <v>24</v>
      </c>
      <c r="G9" s="370" t="s">
        <v>80</v>
      </c>
      <c r="H9" s="478"/>
      <c r="I9" s="478"/>
      <c r="J9" s="478"/>
      <c r="K9" s="478"/>
    </row>
    <row r="10" spans="2:13" s="81" customFormat="1" ht="12" customHeight="1" x14ac:dyDescent="0.25">
      <c r="B10" s="374"/>
      <c r="C10" s="423"/>
      <c r="D10" s="521"/>
      <c r="E10" s="522"/>
      <c r="F10" s="523"/>
      <c r="G10" s="485"/>
      <c r="H10" s="430"/>
      <c r="I10" s="430"/>
      <c r="J10" s="481"/>
      <c r="K10" s="482"/>
    </row>
    <row r="11" spans="2:13" s="82" customFormat="1" ht="12" customHeight="1" x14ac:dyDescent="0.2">
      <c r="B11" s="373"/>
      <c r="C11" s="443"/>
      <c r="D11" s="492"/>
      <c r="E11" s="487"/>
      <c r="F11" s="372"/>
      <c r="G11" s="370"/>
      <c r="H11" s="433"/>
      <c r="I11" s="433"/>
      <c r="J11" s="488"/>
      <c r="K11" s="489"/>
    </row>
    <row r="12" spans="2:13" s="81" customFormat="1" ht="12" customHeight="1" x14ac:dyDescent="0.25">
      <c r="B12" s="441"/>
      <c r="C12" s="453"/>
      <c r="D12" s="475"/>
      <c r="E12" s="369"/>
      <c r="F12" s="516"/>
      <c r="G12" s="100"/>
      <c r="H12" s="431"/>
      <c r="I12" s="431"/>
      <c r="J12" s="431"/>
      <c r="K12" s="431"/>
    </row>
    <row r="13" spans="2:13" s="82" customFormat="1" ht="12" customHeight="1" x14ac:dyDescent="0.25">
      <c r="B13" s="484"/>
      <c r="C13" s="424"/>
      <c r="D13" s="476"/>
      <c r="E13" s="370"/>
      <c r="F13" s="501"/>
      <c r="G13" s="370"/>
      <c r="H13" s="444"/>
      <c r="I13" s="444"/>
      <c r="J13" s="444"/>
      <c r="K13" s="444"/>
    </row>
    <row r="14" spans="2:13" s="77" customFormat="1" ht="12" customHeight="1" x14ac:dyDescent="0.25">
      <c r="B14" s="441"/>
      <c r="C14" s="423"/>
      <c r="D14" s="374"/>
      <c r="E14" s="369"/>
      <c r="F14" s="514"/>
      <c r="G14" s="485"/>
      <c r="H14" s="431"/>
      <c r="I14" s="431"/>
      <c r="J14" s="431"/>
      <c r="K14" s="431"/>
    </row>
    <row r="15" spans="2:13" s="77" customFormat="1" ht="12" customHeight="1" x14ac:dyDescent="0.25">
      <c r="B15" s="373"/>
      <c r="C15" s="443"/>
      <c r="D15" s="486"/>
      <c r="E15" s="370"/>
      <c r="F15" s="515"/>
      <c r="G15" s="370"/>
      <c r="H15" s="444"/>
      <c r="I15" s="444"/>
      <c r="J15" s="444"/>
      <c r="K15" s="444"/>
    </row>
    <row r="16" spans="2:13" s="77" customFormat="1" ht="12" customHeight="1" x14ac:dyDescent="0.25">
      <c r="B16" s="441"/>
      <c r="C16" s="429"/>
      <c r="D16" s="475"/>
      <c r="E16" s="369"/>
      <c r="F16" s="516"/>
      <c r="G16" s="485"/>
      <c r="H16" s="431"/>
      <c r="I16" s="431"/>
      <c r="J16" s="431"/>
      <c r="K16" s="431"/>
    </row>
    <row r="17" spans="2:11" s="77" customFormat="1" ht="12" customHeight="1" x14ac:dyDescent="0.25">
      <c r="B17" s="373"/>
      <c r="C17" s="432"/>
      <c r="D17" s="492"/>
      <c r="E17" s="370"/>
      <c r="F17" s="517"/>
      <c r="G17" s="370"/>
      <c r="H17" s="480"/>
      <c r="I17" s="480"/>
      <c r="J17" s="480"/>
      <c r="K17" s="480"/>
    </row>
    <row r="18" spans="2:11" s="77" customFormat="1" ht="12" customHeight="1" x14ac:dyDescent="0.25">
      <c r="B18" s="374"/>
      <c r="C18" s="429"/>
      <c r="D18" s="475"/>
      <c r="E18" s="369"/>
      <c r="F18" s="516"/>
      <c r="G18" s="485"/>
      <c r="H18" s="431"/>
      <c r="I18" s="431"/>
      <c r="J18" s="431"/>
      <c r="K18" s="431"/>
    </row>
    <row r="19" spans="2:11" s="77" customFormat="1" ht="12" customHeight="1" x14ac:dyDescent="0.25">
      <c r="B19" s="483"/>
      <c r="C19" s="432"/>
      <c r="D19" s="492"/>
      <c r="E19" s="370"/>
      <c r="F19" s="517"/>
      <c r="G19" s="370"/>
      <c r="H19" s="480"/>
      <c r="I19" s="480"/>
      <c r="J19" s="480"/>
      <c r="K19" s="480"/>
    </row>
    <row r="20" spans="2:11" s="77" customFormat="1" ht="12" customHeight="1" x14ac:dyDescent="0.25">
      <c r="B20" s="374"/>
      <c r="C20" s="429"/>
      <c r="D20" s="475"/>
      <c r="E20" s="369"/>
      <c r="F20" s="516"/>
      <c r="G20" s="430"/>
      <c r="H20" s="430"/>
      <c r="I20" s="430"/>
      <c r="J20" s="481"/>
      <c r="K20" s="482"/>
    </row>
    <row r="21" spans="2:11" s="77" customFormat="1" ht="12" customHeight="1" x14ac:dyDescent="0.25">
      <c r="B21" s="483"/>
      <c r="C21" s="432"/>
      <c r="D21" s="492"/>
      <c r="E21" s="370"/>
      <c r="F21" s="517"/>
      <c r="G21" s="479"/>
      <c r="H21" s="433"/>
      <c r="I21" s="433"/>
      <c r="J21" s="488"/>
      <c r="K21" s="489"/>
    </row>
    <row r="22" spans="2:11" s="77" customFormat="1" ht="12" customHeight="1" x14ac:dyDescent="0.25">
      <c r="B22" s="374"/>
      <c r="C22" s="423"/>
      <c r="D22" s="475"/>
      <c r="E22" s="369"/>
      <c r="F22" s="516"/>
      <c r="G22" s="430"/>
      <c r="H22" s="430"/>
      <c r="I22" s="430"/>
      <c r="J22" s="481"/>
      <c r="K22" s="482"/>
    </row>
    <row r="23" spans="2:11" s="77" customFormat="1" ht="12" customHeight="1" x14ac:dyDescent="0.25">
      <c r="B23" s="484"/>
      <c r="C23" s="443"/>
      <c r="D23" s="492"/>
      <c r="E23" s="370"/>
      <c r="F23" s="517"/>
      <c r="G23" s="479"/>
      <c r="H23" s="433"/>
      <c r="I23" s="433"/>
      <c r="J23" s="488"/>
      <c r="K23" s="489"/>
    </row>
    <row r="24" spans="2:11" s="83" customFormat="1" ht="12" customHeight="1" x14ac:dyDescent="0.25">
      <c r="B24" s="441"/>
      <c r="C24" s="423"/>
      <c r="D24" s="475"/>
      <c r="E24" s="369"/>
      <c r="F24" s="514"/>
      <c r="G24" s="485"/>
      <c r="H24" s="431"/>
      <c r="I24" s="431"/>
      <c r="J24" s="431"/>
      <c r="K24" s="431"/>
    </row>
    <row r="25" spans="2:11" s="84" customFormat="1" ht="12" customHeight="1" x14ac:dyDescent="0.25">
      <c r="B25" s="373"/>
      <c r="C25" s="443"/>
      <c r="D25" s="486"/>
      <c r="E25" s="490"/>
      <c r="F25" s="515"/>
      <c r="G25" s="370"/>
      <c r="H25" s="480"/>
      <c r="I25" s="480"/>
      <c r="J25" s="480"/>
      <c r="K25" s="480"/>
    </row>
    <row r="26" spans="2:11" s="83" customFormat="1" ht="12" customHeight="1" x14ac:dyDescent="0.25">
      <c r="B26" s="441"/>
      <c r="C26" s="491"/>
      <c r="D26" s="475"/>
      <c r="E26" s="369"/>
      <c r="F26" s="516"/>
      <c r="G26" s="430"/>
      <c r="H26" s="430"/>
      <c r="I26" s="430"/>
      <c r="J26" s="481"/>
      <c r="K26" s="481"/>
    </row>
    <row r="27" spans="2:11" s="84" customFormat="1" ht="12" customHeight="1" x14ac:dyDescent="0.25">
      <c r="B27" s="442"/>
      <c r="C27" s="432"/>
      <c r="D27" s="492"/>
      <c r="E27" s="370"/>
      <c r="F27" s="517"/>
      <c r="G27" s="479"/>
      <c r="H27" s="433"/>
      <c r="I27" s="433"/>
      <c r="J27" s="488"/>
      <c r="K27" s="488"/>
    </row>
    <row r="28" spans="2:11" s="77" customFormat="1" ht="12" customHeight="1" x14ac:dyDescent="0.25">
      <c r="B28" s="441"/>
      <c r="C28" s="491"/>
      <c r="D28" s="374"/>
      <c r="E28" s="369"/>
      <c r="F28" s="422"/>
      <c r="G28" s="430"/>
      <c r="H28" s="430"/>
      <c r="I28" s="430"/>
      <c r="J28" s="481"/>
      <c r="K28" s="482"/>
    </row>
    <row r="29" spans="2:11" s="77" customFormat="1" ht="12" customHeight="1" x14ac:dyDescent="0.25">
      <c r="B29" s="442"/>
      <c r="C29" s="432"/>
      <c r="D29" s="373"/>
      <c r="E29" s="370"/>
      <c r="F29" s="370"/>
      <c r="G29" s="433"/>
      <c r="H29" s="433"/>
      <c r="I29" s="433"/>
      <c r="J29" s="488"/>
      <c r="K29" s="489"/>
    </row>
    <row r="30" spans="2:11" s="77" customFormat="1" ht="12" customHeight="1" x14ac:dyDescent="0.25">
      <c r="B30" s="441"/>
      <c r="C30" s="491"/>
      <c r="D30" s="475"/>
      <c r="E30" s="369"/>
      <c r="F30" s="513"/>
      <c r="G30" s="485"/>
      <c r="H30" s="430"/>
      <c r="I30" s="430"/>
      <c r="J30" s="481"/>
      <c r="K30" s="482"/>
    </row>
    <row r="31" spans="2:11" s="77" customFormat="1" ht="12" customHeight="1" x14ac:dyDescent="0.2">
      <c r="B31" s="442"/>
      <c r="C31" s="432"/>
      <c r="D31" s="486"/>
      <c r="E31" s="487"/>
      <c r="F31" s="490"/>
      <c r="G31" s="370"/>
      <c r="H31" s="433"/>
      <c r="I31" s="433"/>
      <c r="J31" s="488"/>
      <c r="K31" s="489"/>
    </row>
    <row r="32" spans="2:11" s="77" customFormat="1" ht="12" customHeight="1" x14ac:dyDescent="0.25">
      <c r="B32" s="441"/>
      <c r="C32" s="494"/>
      <c r="D32" s="475"/>
      <c r="E32" s="369"/>
      <c r="F32" s="513"/>
      <c r="G32" s="493"/>
      <c r="H32" s="430"/>
      <c r="I32" s="430"/>
      <c r="J32" s="481"/>
      <c r="K32" s="482"/>
    </row>
    <row r="33" spans="2:11" s="77" customFormat="1" ht="12" customHeight="1" x14ac:dyDescent="0.2">
      <c r="B33" s="442"/>
      <c r="C33" s="495"/>
      <c r="D33" s="486"/>
      <c r="E33" s="487"/>
      <c r="F33" s="490"/>
      <c r="G33" s="370"/>
      <c r="H33" s="433"/>
      <c r="I33" s="433"/>
      <c r="J33" s="488"/>
      <c r="K33" s="489"/>
    </row>
    <row r="34" spans="2:11" s="83" customFormat="1" ht="12" customHeight="1" x14ac:dyDescent="0.25">
      <c r="B34" s="441"/>
      <c r="C34" s="429"/>
      <c r="D34" s="475"/>
      <c r="E34" s="369"/>
      <c r="F34" s="514"/>
      <c r="G34" s="430"/>
      <c r="H34" s="497"/>
      <c r="I34" s="498"/>
      <c r="J34" s="481"/>
      <c r="K34" s="481"/>
    </row>
    <row r="35" spans="2:11" s="85" customFormat="1" ht="12" customHeight="1" x14ac:dyDescent="0.25">
      <c r="B35" s="442"/>
      <c r="C35" s="432"/>
      <c r="D35" s="486"/>
      <c r="E35" s="490"/>
      <c r="F35" s="515"/>
      <c r="G35" s="433"/>
      <c r="H35" s="370"/>
      <c r="I35" s="370"/>
      <c r="J35" s="488"/>
      <c r="K35" s="488"/>
    </row>
    <row r="36" spans="2:11" s="85" customFormat="1" ht="12" customHeight="1" x14ac:dyDescent="0.25">
      <c r="B36" s="441"/>
      <c r="C36" s="429"/>
      <c r="D36" s="475"/>
      <c r="E36" s="369"/>
      <c r="F36" s="516"/>
      <c r="G36" s="496"/>
      <c r="H36" s="430"/>
      <c r="I36" s="430"/>
      <c r="J36" s="481"/>
      <c r="K36" s="482"/>
    </row>
    <row r="37" spans="2:11" s="85" customFormat="1" ht="12" customHeight="1" x14ac:dyDescent="0.2">
      <c r="B37" s="442"/>
      <c r="C37" s="432"/>
      <c r="D37" s="492"/>
      <c r="E37" s="487"/>
      <c r="F37" s="372"/>
      <c r="G37" s="499"/>
      <c r="H37" s="433"/>
      <c r="I37" s="433"/>
      <c r="J37" s="488"/>
      <c r="K37" s="489"/>
    </row>
    <row r="38" spans="2:11" s="77" customFormat="1" ht="12" customHeight="1" x14ac:dyDescent="0.25">
      <c r="B38" s="441"/>
      <c r="C38" s="429"/>
      <c r="D38" s="475"/>
      <c r="E38" s="369"/>
      <c r="F38" s="369"/>
      <c r="G38" s="430"/>
      <c r="H38" s="431"/>
      <c r="I38" s="431"/>
      <c r="J38" s="431"/>
      <c r="K38" s="431"/>
    </row>
    <row r="39" spans="2:11" s="77" customFormat="1" ht="12" customHeight="1" x14ac:dyDescent="0.25">
      <c r="B39" s="442"/>
      <c r="C39" s="432"/>
      <c r="D39" s="492"/>
      <c r="E39" s="370"/>
      <c r="F39" s="290"/>
      <c r="G39" s="433"/>
      <c r="H39" s="480"/>
      <c r="I39" s="480"/>
      <c r="J39" s="480"/>
      <c r="K39" s="480"/>
    </row>
    <row r="40" spans="2:11" s="84" customFormat="1" ht="12" customHeight="1" x14ac:dyDescent="0.25">
      <c r="B40" s="441"/>
      <c r="C40" s="423"/>
      <c r="D40" s="475"/>
      <c r="E40" s="369"/>
      <c r="F40" s="500"/>
      <c r="G40" s="100"/>
      <c r="H40" s="497"/>
      <c r="I40" s="498"/>
      <c r="J40" s="481"/>
      <c r="K40" s="482"/>
    </row>
    <row r="41" spans="2:11" s="84" customFormat="1" ht="12" customHeight="1" x14ac:dyDescent="0.25">
      <c r="B41" s="442"/>
      <c r="C41" s="443"/>
      <c r="D41" s="476"/>
      <c r="E41" s="370"/>
      <c r="F41" s="501"/>
      <c r="G41" s="370"/>
      <c r="H41" s="370"/>
      <c r="I41" s="370" t="s">
        <v>80</v>
      </c>
      <c r="J41" s="488"/>
      <c r="K41" s="489"/>
    </row>
    <row r="42" spans="2:11" s="84" customFormat="1" ht="12" customHeight="1" x14ac:dyDescent="0.25">
      <c r="B42" s="289"/>
      <c r="C42" s="93"/>
      <c r="D42" s="355"/>
      <c r="E42" s="291"/>
      <c r="F42" s="357"/>
      <c r="G42" s="86"/>
      <c r="H42" s="87"/>
      <c r="I42" s="87"/>
      <c r="J42" s="87"/>
      <c r="K42" s="87"/>
    </row>
    <row r="43" spans="2:11" s="84" customFormat="1" ht="12" customHeight="1" x14ac:dyDescent="0.25">
      <c r="B43" s="292"/>
      <c r="C43" s="96"/>
      <c r="D43" s="359" t="s">
        <v>942</v>
      </c>
      <c r="E43" s="290"/>
      <c r="F43" s="354"/>
      <c r="G43" s="72"/>
      <c r="H43" s="78"/>
      <c r="I43" s="78"/>
      <c r="J43" s="78"/>
      <c r="K43" s="78"/>
    </row>
  </sheetData>
  <mergeCells count="10">
    <mergeCell ref="B1:K1"/>
    <mergeCell ref="B2:K2"/>
    <mergeCell ref="B3:K3"/>
    <mergeCell ref="B4:B5"/>
    <mergeCell ref="C4:C5"/>
    <mergeCell ref="D4:D5"/>
    <mergeCell ref="E4:E5"/>
    <mergeCell ref="F4:F5"/>
    <mergeCell ref="G4:G5"/>
    <mergeCell ref="H4:H5"/>
  </mergeCells>
  <pageMargins left="0.59055118110236227" right="0" top="0.51181102362204722" bottom="0" header="0" footer="0"/>
  <pageSetup paperSize="9" fitToHeight="0" orientation="landscape" horizontalDpi="4294967294" r:id="rId1"/>
  <headerFooter alignWithMargins="0"/>
  <rowBreaks count="1" manualBreakCount="1">
    <brk id="43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tabColor theme="1" tint="4.9989318521683403E-2"/>
  </sheetPr>
  <dimension ref="B1:M43"/>
  <sheetViews>
    <sheetView view="pageBreakPreview" zoomScaleNormal="100" zoomScaleSheetLayoutView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213</v>
      </c>
      <c r="C7" s="91"/>
      <c r="D7" s="427" t="s">
        <v>68</v>
      </c>
      <c r="E7" s="92"/>
      <c r="F7" s="92"/>
      <c r="G7" s="13"/>
      <c r="H7" s="13"/>
      <c r="I7" s="13"/>
      <c r="J7" s="14"/>
      <c r="K7" s="14"/>
    </row>
    <row r="8" spans="2:13" s="80" customFormat="1" ht="12" customHeight="1" x14ac:dyDescent="0.25">
      <c r="B8" s="374">
        <v>2.1</v>
      </c>
      <c r="C8" s="423" t="s">
        <v>868</v>
      </c>
      <c r="D8" s="374" t="s">
        <v>948</v>
      </c>
      <c r="E8" s="430"/>
      <c r="F8" s="376"/>
      <c r="G8" s="100"/>
      <c r="H8" s="425"/>
      <c r="I8" s="445"/>
      <c r="J8" s="445"/>
      <c r="K8" s="445"/>
    </row>
    <row r="9" spans="2:13" s="80" customFormat="1" ht="12" customHeight="1" x14ac:dyDescent="0.25">
      <c r="B9" s="373" t="s">
        <v>202</v>
      </c>
      <c r="C9" s="443" t="s">
        <v>1157</v>
      </c>
      <c r="D9" s="373" t="s">
        <v>946</v>
      </c>
      <c r="E9" s="370" t="s">
        <v>947</v>
      </c>
      <c r="F9" s="525" t="s">
        <v>177</v>
      </c>
      <c r="G9" s="99"/>
      <c r="H9" s="426"/>
      <c r="I9" s="446"/>
      <c r="J9" s="446"/>
      <c r="K9" s="446"/>
    </row>
    <row r="10" spans="2:13" s="81" customFormat="1" ht="12" customHeight="1" x14ac:dyDescent="0.25">
      <c r="B10" s="441" t="s">
        <v>217</v>
      </c>
      <c r="C10" s="423" t="s">
        <v>868</v>
      </c>
      <c r="D10" s="374" t="s">
        <v>931</v>
      </c>
      <c r="E10" s="369"/>
      <c r="F10" s="369"/>
      <c r="G10" s="369"/>
      <c r="H10" s="425"/>
      <c r="I10" s="445"/>
      <c r="J10" s="445"/>
      <c r="K10" s="445"/>
    </row>
    <row r="11" spans="2:13" s="82" customFormat="1" ht="12" customHeight="1" x14ac:dyDescent="0.25">
      <c r="B11" s="442" t="s">
        <v>203</v>
      </c>
      <c r="C11" s="443" t="s">
        <v>1164</v>
      </c>
      <c r="D11" s="373" t="s">
        <v>1035</v>
      </c>
      <c r="E11" s="370" t="s">
        <v>206</v>
      </c>
      <c r="F11" s="370">
        <v>1</v>
      </c>
      <c r="G11" s="370" t="s">
        <v>80</v>
      </c>
      <c r="H11" s="426"/>
      <c r="I11" s="446"/>
      <c r="J11" s="446"/>
      <c r="K11" s="446"/>
    </row>
    <row r="12" spans="2:13" s="81" customFormat="1" ht="12" customHeight="1" x14ac:dyDescent="0.25">
      <c r="B12" s="441" t="s">
        <v>230</v>
      </c>
      <c r="C12" s="423"/>
      <c r="D12" s="374" t="s">
        <v>712</v>
      </c>
      <c r="E12" s="369"/>
      <c r="F12" s="369"/>
      <c r="G12" s="425"/>
      <c r="H12" s="425"/>
      <c r="I12" s="445"/>
      <c r="J12" s="445"/>
      <c r="K12" s="445"/>
    </row>
    <row r="13" spans="2:13" s="82" customFormat="1" ht="12" customHeight="1" x14ac:dyDescent="0.25">
      <c r="B13" s="442" t="s">
        <v>231</v>
      </c>
      <c r="C13" s="424"/>
      <c r="D13" s="373" t="s">
        <v>869</v>
      </c>
      <c r="E13" s="370" t="s">
        <v>206</v>
      </c>
      <c r="F13" s="370">
        <v>4</v>
      </c>
      <c r="G13" s="370"/>
      <c r="H13" s="426"/>
      <c r="I13" s="446"/>
      <c r="J13" s="446"/>
      <c r="K13" s="446"/>
    </row>
    <row r="14" spans="2:13" s="77" customFormat="1" ht="12" customHeight="1" x14ac:dyDescent="0.25">
      <c r="B14" s="441" t="s">
        <v>232</v>
      </c>
      <c r="C14" s="423"/>
      <c r="D14" s="374" t="s">
        <v>707</v>
      </c>
      <c r="E14" s="369"/>
      <c r="F14" s="369"/>
      <c r="G14" s="425"/>
      <c r="H14" s="425"/>
      <c r="I14" s="445"/>
      <c r="J14" s="445"/>
      <c r="K14" s="445"/>
    </row>
    <row r="15" spans="2:13" s="77" customFormat="1" ht="12" customHeight="1" x14ac:dyDescent="0.25">
      <c r="B15" s="442" t="s">
        <v>233</v>
      </c>
      <c r="C15" s="443"/>
      <c r="D15" s="373" t="s">
        <v>708</v>
      </c>
      <c r="E15" s="370" t="s">
        <v>206</v>
      </c>
      <c r="F15" s="370">
        <v>6</v>
      </c>
      <c r="G15" s="426"/>
      <c r="H15" s="426"/>
      <c r="I15" s="446"/>
      <c r="J15" s="446"/>
      <c r="K15" s="446"/>
    </row>
    <row r="16" spans="2:13" s="77" customFormat="1" ht="12" customHeight="1" x14ac:dyDescent="0.25">
      <c r="B16" s="441" t="s">
        <v>234</v>
      </c>
      <c r="C16" s="423"/>
      <c r="D16" s="374" t="s">
        <v>1200</v>
      </c>
      <c r="E16" s="369"/>
      <c r="F16" s="376"/>
      <c r="G16" s="425"/>
      <c r="H16" s="425"/>
      <c r="I16" s="445"/>
      <c r="J16" s="445"/>
      <c r="K16" s="445"/>
    </row>
    <row r="17" spans="2:12" s="77" customFormat="1" ht="12" customHeight="1" x14ac:dyDescent="0.3">
      <c r="B17" s="442" t="s">
        <v>235</v>
      </c>
      <c r="C17" s="443"/>
      <c r="D17" s="373" t="s">
        <v>1201</v>
      </c>
      <c r="E17" s="370" t="s">
        <v>206</v>
      </c>
      <c r="F17" s="370">
        <v>1</v>
      </c>
      <c r="G17" s="426"/>
      <c r="H17" s="426"/>
      <c r="I17" s="446"/>
      <c r="J17" s="446"/>
      <c r="K17" s="446"/>
      <c r="L17" s="371"/>
    </row>
    <row r="18" spans="2:12" s="77" customFormat="1" ht="12" customHeight="1" x14ac:dyDescent="0.25">
      <c r="B18" s="441" t="s">
        <v>236</v>
      </c>
      <c r="C18" s="423"/>
      <c r="D18" s="374" t="s">
        <v>1199</v>
      </c>
      <c r="E18" s="369"/>
      <c r="F18" s="376"/>
      <c r="G18" s="369"/>
      <c r="H18" s="425"/>
      <c r="I18" s="445"/>
      <c r="J18" s="445"/>
      <c r="K18" s="445"/>
    </row>
    <row r="19" spans="2:12" s="77" customFormat="1" ht="12" customHeight="1" x14ac:dyDescent="0.25">
      <c r="B19" s="442" t="s">
        <v>237</v>
      </c>
      <c r="C19" s="443"/>
      <c r="D19" s="373" t="s">
        <v>1202</v>
      </c>
      <c r="E19" s="370" t="s">
        <v>206</v>
      </c>
      <c r="F19" s="370">
        <v>1</v>
      </c>
      <c r="G19" s="370"/>
      <c r="H19" s="426"/>
      <c r="I19" s="446"/>
      <c r="J19" s="446"/>
      <c r="K19" s="446"/>
    </row>
    <row r="20" spans="2:12" s="77" customFormat="1" ht="12" customHeight="1" x14ac:dyDescent="0.25">
      <c r="B20" s="441" t="s">
        <v>251</v>
      </c>
      <c r="C20" s="448"/>
      <c r="D20" s="374" t="s">
        <v>949</v>
      </c>
      <c r="E20" s="369"/>
      <c r="F20" s="376"/>
      <c r="G20" s="425"/>
      <c r="H20" s="425"/>
      <c r="I20" s="445"/>
      <c r="J20" s="445"/>
      <c r="K20" s="445"/>
    </row>
    <row r="21" spans="2:12" s="77" customFormat="1" ht="12" customHeight="1" x14ac:dyDescent="0.25">
      <c r="B21" s="442" t="s">
        <v>252</v>
      </c>
      <c r="C21" s="449"/>
      <c r="D21" s="373" t="s">
        <v>1180</v>
      </c>
      <c r="E21" s="370" t="s">
        <v>206</v>
      </c>
      <c r="F21" s="370">
        <v>7</v>
      </c>
      <c r="G21" s="426"/>
      <c r="H21" s="426"/>
      <c r="I21" s="446"/>
      <c r="J21" s="446"/>
      <c r="K21" s="446"/>
    </row>
    <row r="22" spans="2:12" s="77" customFormat="1" ht="12" customHeight="1" x14ac:dyDescent="0.25">
      <c r="B22" s="441" t="s">
        <v>253</v>
      </c>
      <c r="C22" s="448"/>
      <c r="D22" s="374" t="s">
        <v>933</v>
      </c>
      <c r="E22" s="369"/>
      <c r="F22" s="376"/>
      <c r="G22" s="369"/>
      <c r="H22" s="425"/>
      <c r="I22" s="450"/>
      <c r="J22" s="450"/>
      <c r="K22" s="450"/>
    </row>
    <row r="23" spans="2:12" s="77" customFormat="1" ht="12" customHeight="1" x14ac:dyDescent="0.25">
      <c r="B23" s="442" t="s">
        <v>254</v>
      </c>
      <c r="C23" s="449"/>
      <c r="D23" s="373" t="s">
        <v>932</v>
      </c>
      <c r="E23" s="370" t="s">
        <v>206</v>
      </c>
      <c r="F23" s="370">
        <v>2</v>
      </c>
      <c r="G23" s="370"/>
      <c r="H23" s="426"/>
      <c r="I23" s="446"/>
      <c r="J23" s="446"/>
      <c r="K23" s="446"/>
    </row>
    <row r="24" spans="2:12" s="83" customFormat="1" ht="12" customHeight="1" x14ac:dyDescent="0.25">
      <c r="B24" s="441" t="s">
        <v>255</v>
      </c>
      <c r="C24" s="423"/>
      <c r="D24" s="374" t="s">
        <v>934</v>
      </c>
      <c r="E24" s="369"/>
      <c r="F24" s="376"/>
      <c r="G24" s="369"/>
      <c r="H24" s="425"/>
      <c r="I24" s="445"/>
      <c r="J24" s="445"/>
      <c r="K24" s="445"/>
    </row>
    <row r="25" spans="2:12" s="84" customFormat="1" ht="12" customHeight="1" x14ac:dyDescent="0.25">
      <c r="B25" s="442" t="s">
        <v>256</v>
      </c>
      <c r="C25" s="443"/>
      <c r="D25" s="373" t="s">
        <v>935</v>
      </c>
      <c r="E25" s="370" t="s">
        <v>206</v>
      </c>
      <c r="F25" s="370">
        <v>2</v>
      </c>
      <c r="G25" s="370" t="s">
        <v>80</v>
      </c>
      <c r="H25" s="426"/>
      <c r="I25" s="446"/>
      <c r="J25" s="446"/>
      <c r="K25" s="446"/>
    </row>
    <row r="26" spans="2:12" s="83" customFormat="1" ht="12" customHeight="1" x14ac:dyDescent="0.25">
      <c r="B26" s="441" t="s">
        <v>257</v>
      </c>
      <c r="C26" s="423"/>
      <c r="D26" s="374" t="s">
        <v>71</v>
      </c>
      <c r="E26" s="369"/>
      <c r="F26" s="376"/>
      <c r="G26" s="425"/>
      <c r="H26" s="425"/>
      <c r="I26" s="445"/>
      <c r="J26" s="445"/>
      <c r="K26" s="445"/>
    </row>
    <row r="27" spans="2:12" s="84" customFormat="1" ht="12" customHeight="1" x14ac:dyDescent="0.25">
      <c r="B27" s="442" t="s">
        <v>258</v>
      </c>
      <c r="C27" s="443"/>
      <c r="D27" s="373" t="s">
        <v>936</v>
      </c>
      <c r="E27" s="370" t="s">
        <v>206</v>
      </c>
      <c r="F27" s="370">
        <v>6</v>
      </c>
      <c r="G27" s="370"/>
      <c r="H27" s="426"/>
      <c r="I27" s="446"/>
      <c r="J27" s="446"/>
      <c r="K27" s="446"/>
    </row>
    <row r="28" spans="2:12" s="77" customFormat="1" ht="12" customHeight="1" x14ac:dyDescent="0.25">
      <c r="B28" s="441" t="s">
        <v>259</v>
      </c>
      <c r="C28" s="423"/>
      <c r="D28" s="374" t="s">
        <v>938</v>
      </c>
      <c r="E28" s="369"/>
      <c r="F28" s="447"/>
      <c r="G28" s="425"/>
      <c r="H28" s="425"/>
      <c r="I28" s="445"/>
      <c r="J28" s="445"/>
      <c r="K28" s="445"/>
      <c r="L28" s="375"/>
    </row>
    <row r="29" spans="2:12" s="77" customFormat="1" ht="12" customHeight="1" x14ac:dyDescent="0.25">
      <c r="B29" s="442" t="s">
        <v>260</v>
      </c>
      <c r="C29" s="443"/>
      <c r="D29" s="373" t="s">
        <v>937</v>
      </c>
      <c r="E29" s="370" t="s">
        <v>206</v>
      </c>
      <c r="F29" s="370">
        <v>4</v>
      </c>
      <c r="G29" s="426"/>
      <c r="H29" s="426"/>
      <c r="I29" s="446"/>
      <c r="J29" s="446"/>
      <c r="K29" s="446"/>
      <c r="L29" s="375"/>
    </row>
    <row r="30" spans="2:12" s="77" customFormat="1" ht="12" customHeight="1" x14ac:dyDescent="0.25">
      <c r="B30" s="441" t="s">
        <v>261</v>
      </c>
      <c r="C30" s="423"/>
      <c r="D30" s="374" t="s">
        <v>70</v>
      </c>
      <c r="E30" s="369"/>
      <c r="F30" s="447"/>
      <c r="G30" s="425"/>
      <c r="H30" s="425"/>
      <c r="I30" s="436"/>
      <c r="J30" s="436"/>
      <c r="K30" s="445"/>
    </row>
    <row r="31" spans="2:12" s="77" customFormat="1" ht="12" customHeight="1" x14ac:dyDescent="0.25">
      <c r="B31" s="442" t="s">
        <v>262</v>
      </c>
      <c r="C31" s="443"/>
      <c r="D31" s="373" t="s">
        <v>887</v>
      </c>
      <c r="E31" s="370" t="s">
        <v>206</v>
      </c>
      <c r="F31" s="370">
        <v>27</v>
      </c>
      <c r="G31" s="426"/>
      <c r="H31" s="426"/>
      <c r="I31" s="437"/>
      <c r="J31" s="437"/>
      <c r="K31" s="508"/>
    </row>
    <row r="32" spans="2:12" s="77" customFormat="1" ht="12" customHeight="1" x14ac:dyDescent="0.25">
      <c r="B32" s="441" t="s">
        <v>275</v>
      </c>
      <c r="C32" s="423"/>
      <c r="D32" s="374" t="s">
        <v>69</v>
      </c>
      <c r="E32" s="369"/>
      <c r="F32" s="376"/>
      <c r="G32" s="425"/>
      <c r="H32" s="425"/>
      <c r="I32" s="445"/>
      <c r="J32" s="445"/>
      <c r="K32" s="445"/>
    </row>
    <row r="33" spans="2:11" s="77" customFormat="1" ht="12" customHeight="1" x14ac:dyDescent="0.25">
      <c r="B33" s="442" t="s">
        <v>276</v>
      </c>
      <c r="C33" s="443"/>
      <c r="D33" s="373" t="s">
        <v>918</v>
      </c>
      <c r="E33" s="370" t="s">
        <v>206</v>
      </c>
      <c r="F33" s="370">
        <v>1</v>
      </c>
      <c r="G33" s="370"/>
      <c r="H33" s="426"/>
      <c r="I33" s="446"/>
      <c r="J33" s="446"/>
      <c r="K33" s="446"/>
    </row>
    <row r="34" spans="2:11" s="83" customFormat="1" ht="12" customHeight="1" x14ac:dyDescent="0.25">
      <c r="B34" s="441" t="s">
        <v>277</v>
      </c>
      <c r="C34" s="451"/>
      <c r="D34" s="374" t="s">
        <v>736</v>
      </c>
      <c r="E34" s="369"/>
      <c r="F34" s="376"/>
      <c r="G34" s="425"/>
      <c r="H34" s="425"/>
      <c r="I34" s="445"/>
      <c r="J34" s="445"/>
      <c r="K34" s="445"/>
    </row>
    <row r="35" spans="2:11" s="85" customFormat="1" ht="12" customHeight="1" x14ac:dyDescent="0.25">
      <c r="B35" s="442" t="s">
        <v>278</v>
      </c>
      <c r="C35" s="452"/>
      <c r="D35" s="373" t="s">
        <v>737</v>
      </c>
      <c r="E35" s="370" t="s">
        <v>206</v>
      </c>
      <c r="F35" s="370">
        <v>10</v>
      </c>
      <c r="G35" s="426"/>
      <c r="H35" s="426"/>
      <c r="I35" s="446"/>
      <c r="J35" s="446"/>
      <c r="K35" s="446"/>
    </row>
    <row r="36" spans="2:11" s="85" customFormat="1" ht="12" customHeight="1" x14ac:dyDescent="0.25">
      <c r="B36" s="441" t="s">
        <v>279</v>
      </c>
      <c r="C36" s="451"/>
      <c r="D36" s="374" t="s">
        <v>714</v>
      </c>
      <c r="E36" s="369"/>
      <c r="F36" s="376"/>
      <c r="G36" s="425"/>
      <c r="H36" s="425"/>
      <c r="I36" s="445"/>
      <c r="J36" s="445"/>
      <c r="K36" s="445"/>
    </row>
    <row r="37" spans="2:11" s="85" customFormat="1" ht="12" customHeight="1" x14ac:dyDescent="0.25">
      <c r="B37" s="442" t="s">
        <v>280</v>
      </c>
      <c r="C37" s="458"/>
      <c r="D37" s="373" t="s">
        <v>175</v>
      </c>
      <c r="E37" s="370" t="s">
        <v>206</v>
      </c>
      <c r="F37" s="370">
        <v>27</v>
      </c>
      <c r="G37" s="426"/>
      <c r="H37" s="426"/>
      <c r="I37" s="446"/>
      <c r="J37" s="446"/>
      <c r="K37" s="446"/>
    </row>
    <row r="38" spans="2:11" s="77" customFormat="1" ht="12" customHeight="1" x14ac:dyDescent="0.25">
      <c r="B38" s="441" t="s">
        <v>396</v>
      </c>
      <c r="C38" s="448"/>
      <c r="D38" s="374" t="s">
        <v>919</v>
      </c>
      <c r="E38" s="291"/>
      <c r="F38" s="376"/>
      <c r="G38" s="425"/>
      <c r="H38" s="425"/>
      <c r="I38" s="445"/>
      <c r="J38" s="445"/>
      <c r="K38" s="445"/>
    </row>
    <row r="39" spans="2:11" s="77" customFormat="1" ht="12" customHeight="1" x14ac:dyDescent="0.25">
      <c r="B39" s="442" t="s">
        <v>397</v>
      </c>
      <c r="C39" s="449"/>
      <c r="D39" s="373" t="s">
        <v>1158</v>
      </c>
      <c r="E39" s="290" t="s">
        <v>206</v>
      </c>
      <c r="F39" s="370">
        <v>27</v>
      </c>
      <c r="G39" s="426"/>
      <c r="H39" s="426"/>
      <c r="I39" s="446"/>
      <c r="J39" s="446"/>
      <c r="K39" s="446"/>
    </row>
    <row r="40" spans="2:11" s="84" customFormat="1" ht="12" customHeight="1" x14ac:dyDescent="0.25">
      <c r="B40" s="453" t="s">
        <v>398</v>
      </c>
      <c r="C40" s="448"/>
      <c r="D40" s="374" t="s">
        <v>920</v>
      </c>
      <c r="E40" s="369"/>
      <c r="F40" s="369"/>
      <c r="G40" s="425"/>
      <c r="H40" s="425"/>
      <c r="I40" s="445"/>
      <c r="J40" s="445"/>
      <c r="K40" s="445"/>
    </row>
    <row r="41" spans="2:11" s="84" customFormat="1" ht="12" customHeight="1" x14ac:dyDescent="0.25">
      <c r="B41" s="454" t="s">
        <v>399</v>
      </c>
      <c r="C41" s="449"/>
      <c r="D41" s="373" t="s">
        <v>1158</v>
      </c>
      <c r="E41" s="370" t="s">
        <v>206</v>
      </c>
      <c r="F41" s="370">
        <v>54</v>
      </c>
      <c r="G41" s="426"/>
      <c r="H41" s="426"/>
      <c r="I41" s="446"/>
      <c r="J41" s="446"/>
      <c r="K41" s="446"/>
    </row>
    <row r="42" spans="2:11" s="84" customFormat="1" ht="12" customHeight="1" x14ac:dyDescent="0.25">
      <c r="B42" s="101"/>
      <c r="C42" s="101"/>
      <c r="D42" s="95"/>
      <c r="E42" s="100"/>
      <c r="F42" s="95"/>
      <c r="G42" s="73"/>
      <c r="H42" s="73"/>
      <c r="I42" s="74"/>
      <c r="J42" s="74"/>
      <c r="K42" s="74"/>
    </row>
    <row r="43" spans="2:11" s="84" customFormat="1" ht="12" customHeight="1" x14ac:dyDescent="0.25">
      <c r="B43" s="96"/>
      <c r="C43" s="102"/>
      <c r="D43" s="359" t="s">
        <v>184</v>
      </c>
      <c r="E43" s="99"/>
      <c r="F43" s="108"/>
      <c r="G43" s="72"/>
      <c r="H43" s="78"/>
      <c r="I43" s="78"/>
      <c r="J43" s="78"/>
      <c r="K43" s="78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ignoredErrors>
    <ignoredError sqref="B10:B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1" tint="4.9989318521683403E-2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213</v>
      </c>
      <c r="C7" s="91"/>
      <c r="D7" s="296" t="s">
        <v>886</v>
      </c>
      <c r="E7" s="92"/>
      <c r="F7" s="92"/>
      <c r="G7" s="13"/>
      <c r="H7" s="13"/>
      <c r="I7" s="13"/>
      <c r="J7" s="14"/>
      <c r="K7" s="14"/>
    </row>
    <row r="8" spans="2:13" s="80" customFormat="1" ht="12" customHeight="1" x14ac:dyDescent="0.25">
      <c r="B8" s="453" t="s">
        <v>400</v>
      </c>
      <c r="C8" s="448"/>
      <c r="D8" s="374" t="s">
        <v>921</v>
      </c>
      <c r="E8" s="369"/>
      <c r="F8" s="369"/>
      <c r="G8" s="456"/>
      <c r="H8" s="425"/>
      <c r="I8" s="445"/>
      <c r="J8" s="445"/>
      <c r="K8" s="445"/>
    </row>
    <row r="9" spans="2:13" s="80" customFormat="1" ht="12" customHeight="1" x14ac:dyDescent="0.25">
      <c r="B9" s="454" t="s">
        <v>401</v>
      </c>
      <c r="C9" s="449"/>
      <c r="D9" s="373" t="s">
        <v>175</v>
      </c>
      <c r="E9" s="370" t="s">
        <v>206</v>
      </c>
      <c r="F9" s="370">
        <v>64</v>
      </c>
      <c r="G9" s="459"/>
      <c r="H9" s="426"/>
      <c r="I9" s="446"/>
      <c r="J9" s="446"/>
      <c r="K9" s="446"/>
    </row>
    <row r="10" spans="2:13" s="81" customFormat="1" ht="12" customHeight="1" x14ac:dyDescent="0.25">
      <c r="B10" s="453" t="s">
        <v>402</v>
      </c>
      <c r="C10" s="423"/>
      <c r="D10" s="374" t="s">
        <v>922</v>
      </c>
      <c r="E10" s="369"/>
      <c r="F10" s="376"/>
      <c r="G10" s="456"/>
      <c r="H10" s="425"/>
      <c r="I10" s="445"/>
      <c r="J10" s="445"/>
      <c r="K10" s="445"/>
    </row>
    <row r="11" spans="2:13" s="82" customFormat="1" ht="12" customHeight="1" x14ac:dyDescent="0.25">
      <c r="B11" s="454" t="s">
        <v>403</v>
      </c>
      <c r="C11" s="443"/>
      <c r="D11" s="373" t="s">
        <v>1159</v>
      </c>
      <c r="E11" s="370" t="s">
        <v>206</v>
      </c>
      <c r="F11" s="525">
        <v>24</v>
      </c>
      <c r="G11" s="459"/>
      <c r="H11" s="426"/>
      <c r="I11" s="446"/>
      <c r="J11" s="446"/>
      <c r="K11" s="446"/>
    </row>
    <row r="12" spans="2:13" s="81" customFormat="1" ht="12" customHeight="1" x14ac:dyDescent="0.25">
      <c r="B12" s="453" t="s">
        <v>642</v>
      </c>
      <c r="C12" s="423"/>
      <c r="D12" s="374" t="s">
        <v>923</v>
      </c>
      <c r="E12" s="369"/>
      <c r="F12" s="376"/>
      <c r="G12" s="456"/>
      <c r="H12" s="425"/>
      <c r="I12" s="445"/>
      <c r="J12" s="445"/>
      <c r="K12" s="445"/>
    </row>
    <row r="13" spans="2:13" s="82" customFormat="1" ht="12" customHeight="1" x14ac:dyDescent="0.25">
      <c r="B13" s="454" t="s">
        <v>403</v>
      </c>
      <c r="C13" s="443"/>
      <c r="D13" s="373" t="s">
        <v>1160</v>
      </c>
      <c r="E13" s="370" t="s">
        <v>206</v>
      </c>
      <c r="F13" s="525">
        <v>48</v>
      </c>
      <c r="G13" s="459"/>
      <c r="H13" s="426"/>
      <c r="I13" s="446"/>
      <c r="J13" s="446"/>
      <c r="K13" s="446"/>
    </row>
    <row r="14" spans="2:13" s="77" customFormat="1" ht="12" customHeight="1" x14ac:dyDescent="0.25">
      <c r="B14" s="453" t="s">
        <v>642</v>
      </c>
      <c r="C14" s="448"/>
      <c r="D14" s="374" t="s">
        <v>924</v>
      </c>
      <c r="E14" s="369"/>
      <c r="F14" s="369"/>
      <c r="G14" s="456"/>
      <c r="H14" s="425"/>
      <c r="I14" s="445"/>
      <c r="J14" s="445"/>
      <c r="K14" s="445"/>
    </row>
    <row r="15" spans="2:13" s="77" customFormat="1" ht="12" customHeight="1" x14ac:dyDescent="0.25">
      <c r="B15" s="454" t="s">
        <v>644</v>
      </c>
      <c r="C15" s="449"/>
      <c r="D15" s="373" t="s">
        <v>1161</v>
      </c>
      <c r="E15" s="370" t="s">
        <v>206</v>
      </c>
      <c r="F15" s="370">
        <v>240</v>
      </c>
      <c r="G15" s="459"/>
      <c r="H15" s="426"/>
      <c r="I15" s="446"/>
      <c r="J15" s="446"/>
      <c r="K15" s="446"/>
    </row>
    <row r="16" spans="2:13" s="77" customFormat="1" ht="12" customHeight="1" x14ac:dyDescent="0.25">
      <c r="B16" s="453" t="s">
        <v>645</v>
      </c>
      <c r="C16" s="423"/>
      <c r="D16" s="374" t="s">
        <v>925</v>
      </c>
      <c r="E16" s="369"/>
      <c r="F16" s="369"/>
      <c r="G16" s="456"/>
      <c r="H16" s="425"/>
      <c r="I16" s="445"/>
      <c r="J16" s="445"/>
      <c r="K16" s="445"/>
    </row>
    <row r="17" spans="2:11" s="77" customFormat="1" ht="12" customHeight="1" x14ac:dyDescent="0.25">
      <c r="B17" s="454" t="s">
        <v>643</v>
      </c>
      <c r="C17" s="443"/>
      <c r="D17" s="373" t="s">
        <v>1162</v>
      </c>
      <c r="E17" s="370" t="s">
        <v>206</v>
      </c>
      <c r="F17" s="370">
        <v>36</v>
      </c>
      <c r="G17" s="459"/>
      <c r="H17" s="426"/>
      <c r="I17" s="446"/>
      <c r="J17" s="446"/>
      <c r="K17" s="446"/>
    </row>
    <row r="18" spans="2:11" s="77" customFormat="1" ht="12" customHeight="1" x14ac:dyDescent="0.25">
      <c r="B18" s="453" t="s">
        <v>696</v>
      </c>
      <c r="C18" s="448"/>
      <c r="D18" s="374" t="s">
        <v>926</v>
      </c>
      <c r="E18" s="369"/>
      <c r="F18" s="369"/>
      <c r="G18" s="456"/>
      <c r="H18" s="425"/>
      <c r="I18" s="445"/>
      <c r="J18" s="445"/>
      <c r="K18" s="445"/>
    </row>
    <row r="19" spans="2:11" s="77" customFormat="1" ht="12" customHeight="1" x14ac:dyDescent="0.25">
      <c r="B19" s="454" t="s">
        <v>697</v>
      </c>
      <c r="C19" s="449"/>
      <c r="D19" s="373" t="s">
        <v>1163</v>
      </c>
      <c r="E19" s="370" t="s">
        <v>206</v>
      </c>
      <c r="F19" s="370">
        <v>8</v>
      </c>
      <c r="G19" s="459"/>
      <c r="H19" s="426"/>
      <c r="I19" s="446"/>
      <c r="J19" s="446"/>
      <c r="K19" s="446"/>
    </row>
    <row r="20" spans="2:11" s="77" customFormat="1" ht="12" customHeight="1" x14ac:dyDescent="0.25">
      <c r="B20" s="453" t="s">
        <v>1203</v>
      </c>
      <c r="C20" s="502"/>
      <c r="D20" s="374" t="s">
        <v>927</v>
      </c>
      <c r="E20" s="369"/>
      <c r="F20" s="369"/>
      <c r="G20" s="456"/>
      <c r="H20" s="425"/>
      <c r="I20" s="445"/>
      <c r="J20" s="445"/>
      <c r="K20" s="445"/>
    </row>
    <row r="21" spans="2:11" s="77" customFormat="1" ht="12" customHeight="1" x14ac:dyDescent="0.25">
      <c r="B21" s="454" t="s">
        <v>1204</v>
      </c>
      <c r="C21" s="503"/>
      <c r="D21" s="373" t="s">
        <v>1163</v>
      </c>
      <c r="E21" s="370" t="s">
        <v>206</v>
      </c>
      <c r="F21" s="370">
        <v>16</v>
      </c>
      <c r="G21" s="459"/>
      <c r="H21" s="426"/>
      <c r="I21" s="446"/>
      <c r="J21" s="446"/>
      <c r="K21" s="446"/>
    </row>
    <row r="22" spans="2:11" s="77" customFormat="1" ht="12" customHeight="1" x14ac:dyDescent="0.25">
      <c r="B22" s="453" t="s">
        <v>1205</v>
      </c>
      <c r="C22" s="423"/>
      <c r="D22" s="374" t="s">
        <v>928</v>
      </c>
      <c r="E22" s="369"/>
      <c r="F22" s="369"/>
      <c r="G22" s="456"/>
      <c r="H22" s="425"/>
      <c r="I22" s="450"/>
      <c r="J22" s="445"/>
      <c r="K22" s="445"/>
    </row>
    <row r="23" spans="2:11" s="77" customFormat="1" ht="12" customHeight="1" x14ac:dyDescent="0.25">
      <c r="B23" s="454" t="s">
        <v>1206</v>
      </c>
      <c r="C23" s="443"/>
      <c r="D23" s="373" t="s">
        <v>175</v>
      </c>
      <c r="E23" s="370" t="s">
        <v>206</v>
      </c>
      <c r="F23" s="370">
        <v>12</v>
      </c>
      <c r="G23" s="459"/>
      <c r="H23" s="426"/>
      <c r="I23" s="446"/>
      <c r="J23" s="446"/>
      <c r="K23" s="446"/>
    </row>
    <row r="24" spans="2:11" s="83" customFormat="1" ht="12" customHeight="1" x14ac:dyDescent="0.25">
      <c r="B24" s="453"/>
      <c r="C24" s="451"/>
      <c r="D24" s="374"/>
      <c r="E24" s="369"/>
      <c r="F24" s="518"/>
      <c r="G24" s="456"/>
      <c r="H24" s="425"/>
      <c r="I24" s="445"/>
      <c r="J24" s="450"/>
      <c r="K24" s="450"/>
    </row>
    <row r="25" spans="2:11" s="84" customFormat="1" ht="12" customHeight="1" x14ac:dyDescent="0.25">
      <c r="B25" s="454"/>
      <c r="C25" s="452"/>
      <c r="D25" s="373"/>
      <c r="E25" s="370"/>
      <c r="F25" s="519"/>
      <c r="G25" s="459"/>
      <c r="H25" s="426"/>
      <c r="I25" s="446"/>
      <c r="J25" s="446"/>
      <c r="K25" s="446"/>
    </row>
    <row r="26" spans="2:11" s="83" customFormat="1" ht="12" customHeight="1" x14ac:dyDescent="0.25">
      <c r="B26" s="453"/>
      <c r="C26" s="451"/>
      <c r="D26" s="374"/>
      <c r="E26" s="369"/>
      <c r="F26" s="376"/>
      <c r="G26" s="369"/>
      <c r="H26" s="425"/>
      <c r="I26" s="445"/>
      <c r="J26" s="445"/>
      <c r="K26" s="445"/>
    </row>
    <row r="27" spans="2:11" s="84" customFormat="1" ht="12" customHeight="1" x14ac:dyDescent="0.25">
      <c r="B27" s="454"/>
      <c r="C27" s="452"/>
      <c r="D27" s="373"/>
      <c r="E27" s="370"/>
      <c r="F27" s="370"/>
      <c r="G27" s="370"/>
      <c r="H27" s="426"/>
      <c r="I27" s="446"/>
      <c r="J27" s="446"/>
      <c r="K27" s="446"/>
    </row>
    <row r="28" spans="2:11" s="77" customFormat="1" ht="12" customHeight="1" x14ac:dyDescent="0.25">
      <c r="B28" s="453"/>
      <c r="C28" s="423"/>
      <c r="D28" s="374"/>
      <c r="E28" s="369"/>
      <c r="F28" s="376"/>
      <c r="G28" s="425"/>
      <c r="H28" s="425"/>
      <c r="I28" s="445"/>
      <c r="J28" s="445"/>
      <c r="K28" s="445"/>
    </row>
    <row r="29" spans="2:11" s="77" customFormat="1" ht="12" customHeight="1" x14ac:dyDescent="0.25">
      <c r="B29" s="454"/>
      <c r="C29" s="443"/>
      <c r="D29" s="373"/>
      <c r="E29" s="370"/>
      <c r="F29" s="370"/>
      <c r="G29" s="426"/>
      <c r="H29" s="426"/>
      <c r="I29" s="446"/>
      <c r="J29" s="446"/>
      <c r="K29" s="446"/>
    </row>
    <row r="30" spans="2:11" s="77" customFormat="1" ht="12" customHeight="1" x14ac:dyDescent="0.25">
      <c r="B30" s="453"/>
      <c r="C30" s="448"/>
      <c r="D30" s="374"/>
      <c r="E30" s="369"/>
      <c r="F30" s="376"/>
      <c r="G30" s="425"/>
      <c r="H30" s="425"/>
      <c r="I30" s="445"/>
      <c r="J30" s="445"/>
      <c r="K30" s="445"/>
    </row>
    <row r="31" spans="2:11" s="77" customFormat="1" ht="12" customHeight="1" x14ac:dyDescent="0.25">
      <c r="B31" s="454"/>
      <c r="C31" s="449"/>
      <c r="D31" s="373"/>
      <c r="E31" s="370"/>
      <c r="F31" s="370"/>
      <c r="G31" s="426"/>
      <c r="H31" s="426"/>
      <c r="I31" s="446"/>
      <c r="J31" s="446"/>
      <c r="K31" s="446"/>
    </row>
    <row r="32" spans="2:11" s="77" customFormat="1" ht="12" customHeight="1" x14ac:dyDescent="0.25">
      <c r="B32" s="453"/>
      <c r="C32" s="448"/>
      <c r="D32" s="374"/>
      <c r="E32" s="369"/>
      <c r="F32" s="376"/>
      <c r="G32" s="425"/>
      <c r="H32" s="425"/>
      <c r="I32" s="445"/>
      <c r="J32" s="445"/>
      <c r="K32" s="445"/>
    </row>
    <row r="33" spans="2:11" s="77" customFormat="1" ht="12" customHeight="1" x14ac:dyDescent="0.25">
      <c r="B33" s="454"/>
      <c r="C33" s="449"/>
      <c r="D33" s="373"/>
      <c r="E33" s="370"/>
      <c r="F33" s="370"/>
      <c r="G33" s="426"/>
      <c r="H33" s="426"/>
      <c r="I33" s="446"/>
      <c r="J33" s="446"/>
      <c r="K33" s="446"/>
    </row>
    <row r="34" spans="2:11" s="83" customFormat="1" ht="12" customHeight="1" x14ac:dyDescent="0.25">
      <c r="B34" s="453"/>
      <c r="C34" s="448"/>
      <c r="D34" s="374"/>
      <c r="E34" s="369"/>
      <c r="F34" s="376"/>
      <c r="G34" s="425"/>
      <c r="H34" s="425"/>
      <c r="I34" s="445"/>
      <c r="J34" s="445"/>
      <c r="K34" s="445"/>
    </row>
    <row r="35" spans="2:11" s="85" customFormat="1" ht="12" customHeight="1" x14ac:dyDescent="0.25">
      <c r="B35" s="454"/>
      <c r="C35" s="449"/>
      <c r="D35" s="373"/>
      <c r="E35" s="370"/>
      <c r="F35" s="370"/>
      <c r="G35" s="426"/>
      <c r="H35" s="426"/>
      <c r="I35" s="446"/>
      <c r="J35" s="446"/>
      <c r="K35" s="446"/>
    </row>
    <row r="36" spans="2:11" s="85" customFormat="1" ht="12" customHeight="1" x14ac:dyDescent="0.25">
      <c r="B36" s="453"/>
      <c r="C36" s="448"/>
      <c r="D36" s="374"/>
      <c r="E36" s="369"/>
      <c r="F36" s="376"/>
      <c r="G36" s="425"/>
      <c r="H36" s="425"/>
      <c r="I36" s="445"/>
      <c r="J36" s="445"/>
      <c r="K36" s="445"/>
    </row>
    <row r="37" spans="2:11" s="85" customFormat="1" ht="12" customHeight="1" x14ac:dyDescent="0.25">
      <c r="B37" s="454"/>
      <c r="C37" s="449"/>
      <c r="D37" s="373"/>
      <c r="E37" s="370"/>
      <c r="F37" s="370"/>
      <c r="G37" s="426"/>
      <c r="H37" s="426"/>
      <c r="I37" s="446"/>
      <c r="J37" s="446"/>
      <c r="K37" s="446"/>
    </row>
    <row r="38" spans="2:11" s="77" customFormat="1" ht="12" customHeight="1" x14ac:dyDescent="0.25">
      <c r="B38" s="453"/>
      <c r="C38" s="448"/>
      <c r="D38" s="374"/>
      <c r="E38" s="369"/>
      <c r="F38" s="376"/>
      <c r="G38" s="425"/>
      <c r="H38" s="425"/>
      <c r="I38" s="445"/>
      <c r="J38" s="445"/>
      <c r="K38" s="445"/>
    </row>
    <row r="39" spans="2:11" s="77" customFormat="1" ht="12" customHeight="1" x14ac:dyDescent="0.25">
      <c r="B39" s="454"/>
      <c r="C39" s="449"/>
      <c r="D39" s="373"/>
      <c r="E39" s="370"/>
      <c r="F39" s="370"/>
      <c r="G39" s="370"/>
      <c r="H39" s="426"/>
      <c r="I39" s="446"/>
      <c r="J39" s="446"/>
      <c r="K39" s="446"/>
    </row>
    <row r="40" spans="2:11" s="84" customFormat="1" ht="12" customHeight="1" x14ac:dyDescent="0.25">
      <c r="B40" s="453"/>
      <c r="C40" s="423"/>
      <c r="D40" s="374"/>
      <c r="E40" s="369"/>
      <c r="F40" s="376"/>
      <c r="G40" s="425"/>
      <c r="H40" s="425"/>
      <c r="I40" s="445"/>
      <c r="J40" s="445"/>
      <c r="K40" s="445"/>
    </row>
    <row r="41" spans="2:11" s="84" customFormat="1" ht="12" customHeight="1" x14ac:dyDescent="0.25">
      <c r="B41" s="454"/>
      <c r="C41" s="443"/>
      <c r="D41" s="373"/>
      <c r="E41" s="370"/>
      <c r="F41" s="370"/>
      <c r="G41" s="426"/>
      <c r="H41" s="426"/>
      <c r="I41" s="446"/>
      <c r="J41" s="446"/>
      <c r="K41" s="446"/>
    </row>
    <row r="42" spans="2:11" s="84" customFormat="1" ht="12" customHeight="1" x14ac:dyDescent="0.25">
      <c r="B42" s="101"/>
      <c r="C42" s="101"/>
      <c r="D42" s="95"/>
      <c r="E42" s="100"/>
      <c r="F42" s="95"/>
      <c r="G42" s="73"/>
      <c r="H42" s="73"/>
      <c r="I42" s="74"/>
      <c r="J42" s="74"/>
      <c r="K42" s="74"/>
    </row>
    <row r="43" spans="2:11" s="84" customFormat="1" ht="12" customHeight="1" x14ac:dyDescent="0.25">
      <c r="B43" s="96"/>
      <c r="C43" s="102"/>
      <c r="D43" s="359" t="s">
        <v>888</v>
      </c>
      <c r="E43" s="99"/>
      <c r="F43" s="108"/>
      <c r="G43" s="72"/>
      <c r="H43" s="78"/>
      <c r="I43" s="78"/>
      <c r="J43" s="78"/>
      <c r="K43" s="78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  <ignoredErrors>
    <ignoredError sqref="B8:B11 B12:B1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0000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215</v>
      </c>
      <c r="C7" s="91"/>
      <c r="D7" s="296" t="s">
        <v>72</v>
      </c>
      <c r="E7" s="92"/>
      <c r="F7" s="92"/>
      <c r="G7" s="92"/>
      <c r="H7" s="13"/>
      <c r="I7" s="13"/>
      <c r="J7" s="14"/>
      <c r="K7" s="14"/>
    </row>
    <row r="8" spans="2:13" s="80" customFormat="1" ht="12" customHeight="1" x14ac:dyDescent="0.25">
      <c r="B8" s="374">
        <v>3.1</v>
      </c>
      <c r="C8" s="423" t="s">
        <v>870</v>
      </c>
      <c r="D8" s="374" t="s">
        <v>950</v>
      </c>
      <c r="E8" s="369"/>
      <c r="F8" s="376"/>
      <c r="G8" s="369"/>
      <c r="H8" s="425"/>
      <c r="I8" s="445"/>
      <c r="J8" s="445"/>
      <c r="K8" s="445"/>
    </row>
    <row r="9" spans="2:13" s="80" customFormat="1" ht="12" customHeight="1" x14ac:dyDescent="0.25">
      <c r="B9" s="373" t="s">
        <v>238</v>
      </c>
      <c r="C9" s="443" t="s">
        <v>1167</v>
      </c>
      <c r="D9" s="373" t="s">
        <v>1165</v>
      </c>
      <c r="E9" s="370" t="s">
        <v>206</v>
      </c>
      <c r="F9" s="370">
        <v>4</v>
      </c>
      <c r="G9" s="370" t="s">
        <v>80</v>
      </c>
      <c r="H9" s="426"/>
      <c r="I9" s="446"/>
      <c r="J9" s="446"/>
      <c r="K9" s="446"/>
    </row>
    <row r="10" spans="2:13" s="81" customFormat="1" ht="12" customHeight="1" x14ac:dyDescent="0.25">
      <c r="B10" s="441" t="s">
        <v>263</v>
      </c>
      <c r="C10" s="448"/>
      <c r="D10" s="374" t="s">
        <v>702</v>
      </c>
      <c r="E10" s="369"/>
      <c r="F10" s="376"/>
      <c r="G10" s="369"/>
      <c r="H10" s="425"/>
      <c r="I10" s="445"/>
      <c r="J10" s="445"/>
      <c r="K10" s="445"/>
    </row>
    <row r="11" spans="2:13" s="82" customFormat="1" ht="12" customHeight="1" x14ac:dyDescent="0.25">
      <c r="B11" s="442" t="s">
        <v>239</v>
      </c>
      <c r="C11" s="449"/>
      <c r="D11" s="373" t="s">
        <v>889</v>
      </c>
      <c r="E11" s="370" t="s">
        <v>206</v>
      </c>
      <c r="F11" s="370">
        <v>6</v>
      </c>
      <c r="G11" s="370" t="s">
        <v>80</v>
      </c>
      <c r="H11" s="426"/>
      <c r="I11" s="446"/>
      <c r="J11" s="446"/>
      <c r="K11" s="446"/>
    </row>
    <row r="12" spans="2:13" s="81" customFormat="1" ht="12" customHeight="1" x14ac:dyDescent="0.25">
      <c r="B12" s="441" t="s">
        <v>264</v>
      </c>
      <c r="C12" s="451"/>
      <c r="D12" s="374" t="s">
        <v>1140</v>
      </c>
      <c r="E12" s="376"/>
      <c r="F12" s="369"/>
      <c r="G12" s="369"/>
      <c r="H12" s="425"/>
      <c r="I12" s="445"/>
      <c r="J12" s="445"/>
      <c r="K12" s="445"/>
    </row>
    <row r="13" spans="2:13" s="82" customFormat="1" ht="12" customHeight="1" x14ac:dyDescent="0.25">
      <c r="B13" s="442" t="s">
        <v>209</v>
      </c>
      <c r="C13" s="458"/>
      <c r="D13" s="373" t="s">
        <v>1166</v>
      </c>
      <c r="E13" s="370" t="s">
        <v>206</v>
      </c>
      <c r="F13" s="370">
        <v>6</v>
      </c>
      <c r="G13" s="370" t="s">
        <v>80</v>
      </c>
      <c r="H13" s="426"/>
      <c r="I13" s="446"/>
      <c r="J13" s="446"/>
      <c r="K13" s="446"/>
    </row>
    <row r="14" spans="2:13" s="77" customFormat="1" ht="12" customHeight="1" x14ac:dyDescent="0.25">
      <c r="B14" s="441" t="s">
        <v>265</v>
      </c>
      <c r="C14" s="451"/>
      <c r="D14" s="374" t="s">
        <v>890</v>
      </c>
      <c r="E14" s="376"/>
      <c r="F14" s="369"/>
      <c r="G14" s="369"/>
      <c r="H14" s="425"/>
      <c r="I14" s="445"/>
      <c r="J14" s="445"/>
      <c r="K14" s="445"/>
      <c r="L14" s="375"/>
    </row>
    <row r="15" spans="2:13" s="77" customFormat="1" ht="12" customHeight="1" x14ac:dyDescent="0.25">
      <c r="B15" s="442" t="s">
        <v>210</v>
      </c>
      <c r="C15" s="458"/>
      <c r="D15" s="373" t="s">
        <v>1189</v>
      </c>
      <c r="E15" s="370" t="s">
        <v>206</v>
      </c>
      <c r="F15" s="370">
        <v>12</v>
      </c>
      <c r="G15" s="370" t="s">
        <v>80</v>
      </c>
      <c r="H15" s="426"/>
      <c r="I15" s="446"/>
      <c r="J15" s="446"/>
      <c r="K15" s="446"/>
      <c r="L15" s="375"/>
    </row>
    <row r="16" spans="2:13" s="77" customFormat="1" ht="12" customHeight="1" x14ac:dyDescent="0.25">
      <c r="B16" s="441" t="s">
        <v>266</v>
      </c>
      <c r="C16" s="448"/>
      <c r="D16" s="374" t="s">
        <v>715</v>
      </c>
      <c r="E16" s="376"/>
      <c r="F16" s="369"/>
      <c r="G16" s="369"/>
      <c r="H16" s="425"/>
      <c r="I16" s="445"/>
      <c r="J16" s="445"/>
      <c r="K16" s="445"/>
      <c r="L16" s="375"/>
    </row>
    <row r="17" spans="2:12" s="77" customFormat="1" ht="12" customHeight="1" x14ac:dyDescent="0.25">
      <c r="B17" s="442" t="s">
        <v>211</v>
      </c>
      <c r="C17" s="449"/>
      <c r="D17" s="373" t="s">
        <v>891</v>
      </c>
      <c r="E17" s="370" t="s">
        <v>206</v>
      </c>
      <c r="F17" s="370">
        <v>12</v>
      </c>
      <c r="G17" s="370" t="s">
        <v>80</v>
      </c>
      <c r="H17" s="426"/>
      <c r="I17" s="446"/>
      <c r="J17" s="446"/>
      <c r="K17" s="446"/>
      <c r="L17" s="375"/>
    </row>
    <row r="18" spans="2:12" s="77" customFormat="1" ht="12" customHeight="1" x14ac:dyDescent="0.25">
      <c r="B18" s="441" t="s">
        <v>267</v>
      </c>
      <c r="C18" s="448"/>
      <c r="D18" s="374" t="s">
        <v>703</v>
      </c>
      <c r="E18" s="376"/>
      <c r="F18" s="376"/>
      <c r="G18" s="369"/>
      <c r="H18" s="425"/>
      <c r="I18" s="445"/>
      <c r="J18" s="445"/>
      <c r="K18" s="445"/>
    </row>
    <row r="19" spans="2:12" s="77" customFormat="1" ht="12" customHeight="1" x14ac:dyDescent="0.25">
      <c r="B19" s="442" t="s">
        <v>212</v>
      </c>
      <c r="C19" s="449"/>
      <c r="D19" s="373" t="s">
        <v>951</v>
      </c>
      <c r="E19" s="370" t="s">
        <v>206</v>
      </c>
      <c r="F19" s="370">
        <v>6</v>
      </c>
      <c r="G19" s="370" t="s">
        <v>80</v>
      </c>
      <c r="H19" s="426"/>
      <c r="I19" s="446"/>
      <c r="J19" s="446"/>
      <c r="K19" s="446"/>
    </row>
    <row r="20" spans="2:12" s="77" customFormat="1" ht="12" customHeight="1" x14ac:dyDescent="0.25">
      <c r="B20" s="441" t="s">
        <v>268</v>
      </c>
      <c r="C20" s="448"/>
      <c r="D20" s="374" t="s">
        <v>709</v>
      </c>
      <c r="E20" s="376"/>
      <c r="F20" s="376"/>
      <c r="G20" s="369"/>
      <c r="H20" s="425"/>
      <c r="I20" s="445"/>
      <c r="J20" s="445"/>
      <c r="K20" s="445"/>
    </row>
    <row r="21" spans="2:12" s="77" customFormat="1" ht="12" customHeight="1" x14ac:dyDescent="0.25">
      <c r="B21" s="442" t="s">
        <v>224</v>
      </c>
      <c r="C21" s="449"/>
      <c r="D21" s="373" t="s">
        <v>892</v>
      </c>
      <c r="E21" s="370" t="s">
        <v>206</v>
      </c>
      <c r="F21" s="370">
        <v>18</v>
      </c>
      <c r="G21" s="370" t="s">
        <v>80</v>
      </c>
      <c r="H21" s="426"/>
      <c r="I21" s="446"/>
      <c r="J21" s="446"/>
      <c r="K21" s="446"/>
    </row>
    <row r="22" spans="2:12" s="77" customFormat="1" ht="12" customHeight="1" x14ac:dyDescent="0.25">
      <c r="B22" s="441" t="s">
        <v>269</v>
      </c>
      <c r="C22" s="448"/>
      <c r="D22" s="374" t="s">
        <v>710</v>
      </c>
      <c r="E22" s="376"/>
      <c r="F22" s="376"/>
      <c r="G22" s="369"/>
      <c r="H22" s="425"/>
      <c r="I22" s="445"/>
      <c r="J22" s="445"/>
      <c r="K22" s="445"/>
    </row>
    <row r="23" spans="2:12" s="77" customFormat="1" ht="12" customHeight="1" x14ac:dyDescent="0.25">
      <c r="B23" s="442" t="s">
        <v>270</v>
      </c>
      <c r="C23" s="449"/>
      <c r="D23" s="373" t="s">
        <v>952</v>
      </c>
      <c r="E23" s="370" t="s">
        <v>206</v>
      </c>
      <c r="F23" s="370">
        <v>3</v>
      </c>
      <c r="G23" s="370" t="s">
        <v>80</v>
      </c>
      <c r="H23" s="426"/>
      <c r="I23" s="446"/>
      <c r="J23" s="446"/>
      <c r="K23" s="446"/>
    </row>
    <row r="24" spans="2:12" s="83" customFormat="1" ht="12" customHeight="1" x14ac:dyDescent="0.25">
      <c r="B24" s="441" t="s">
        <v>271</v>
      </c>
      <c r="C24" s="448"/>
      <c r="D24" s="374" t="s">
        <v>711</v>
      </c>
      <c r="E24" s="369"/>
      <c r="F24" s="369"/>
      <c r="G24" s="369"/>
      <c r="H24" s="425"/>
      <c r="I24" s="445"/>
      <c r="J24" s="445"/>
      <c r="K24" s="445"/>
    </row>
    <row r="25" spans="2:12" s="84" customFormat="1" ht="12" customHeight="1" x14ac:dyDescent="0.25">
      <c r="B25" s="442" t="s">
        <v>272</v>
      </c>
      <c r="C25" s="449"/>
      <c r="D25" s="373" t="s">
        <v>716</v>
      </c>
      <c r="E25" s="370" t="s">
        <v>206</v>
      </c>
      <c r="F25" s="370">
        <v>6</v>
      </c>
      <c r="G25" s="370" t="s">
        <v>80</v>
      </c>
      <c r="H25" s="426"/>
      <c r="I25" s="446"/>
      <c r="J25" s="446"/>
      <c r="K25" s="446"/>
    </row>
    <row r="26" spans="2:12" s="83" customFormat="1" ht="12" customHeight="1" x14ac:dyDescent="0.25">
      <c r="B26" s="441" t="s">
        <v>273</v>
      </c>
      <c r="C26" s="423" t="s">
        <v>870</v>
      </c>
      <c r="D26" s="374" t="s">
        <v>73</v>
      </c>
      <c r="E26" s="369"/>
      <c r="F26" s="376"/>
      <c r="G26" s="369"/>
      <c r="H26" s="425"/>
      <c r="I26" s="445"/>
      <c r="J26" s="445"/>
      <c r="K26" s="445"/>
    </row>
    <row r="27" spans="2:12" s="84" customFormat="1" ht="12" customHeight="1" x14ac:dyDescent="0.25">
      <c r="B27" s="442" t="s">
        <v>274</v>
      </c>
      <c r="C27" s="443" t="s">
        <v>1167</v>
      </c>
      <c r="D27" s="373" t="s">
        <v>954</v>
      </c>
      <c r="E27" s="370" t="s">
        <v>206</v>
      </c>
      <c r="F27" s="370">
        <v>12</v>
      </c>
      <c r="G27" s="370"/>
      <c r="H27" s="426"/>
      <c r="I27" s="446"/>
      <c r="J27" s="446"/>
      <c r="K27" s="446"/>
    </row>
    <row r="28" spans="2:12" s="77" customFormat="1" ht="12" customHeight="1" x14ac:dyDescent="0.25">
      <c r="B28" s="441">
        <v>3.11</v>
      </c>
      <c r="C28" s="455" t="s">
        <v>88</v>
      </c>
      <c r="D28" s="374" t="s">
        <v>882</v>
      </c>
      <c r="E28" s="369"/>
      <c r="F28" s="376"/>
      <c r="G28" s="369"/>
      <c r="H28" s="425"/>
      <c r="I28" s="445"/>
      <c r="J28" s="445"/>
      <c r="K28" s="445"/>
    </row>
    <row r="29" spans="2:12" s="77" customFormat="1" ht="12" customHeight="1" x14ac:dyDescent="0.25">
      <c r="B29" s="442" t="s">
        <v>404</v>
      </c>
      <c r="C29" s="458"/>
      <c r="D29" s="373" t="s">
        <v>953</v>
      </c>
      <c r="E29" s="370" t="s">
        <v>206</v>
      </c>
      <c r="F29" s="370">
        <v>6</v>
      </c>
      <c r="G29" s="370" t="s">
        <v>80</v>
      </c>
      <c r="H29" s="426"/>
      <c r="I29" s="446"/>
      <c r="J29" s="446"/>
      <c r="K29" s="446"/>
    </row>
    <row r="30" spans="2:12" s="77" customFormat="1" ht="12" customHeight="1" x14ac:dyDescent="0.25">
      <c r="B30" s="441" t="s">
        <v>405</v>
      </c>
      <c r="C30" s="455"/>
      <c r="D30" s="374" t="s">
        <v>74</v>
      </c>
      <c r="E30" s="369"/>
      <c r="F30" s="376"/>
      <c r="G30" s="369"/>
      <c r="H30" s="425"/>
      <c r="I30" s="445"/>
      <c r="J30" s="445"/>
      <c r="K30" s="445"/>
    </row>
    <row r="31" spans="2:12" s="77" customFormat="1" ht="12" customHeight="1" x14ac:dyDescent="0.25">
      <c r="B31" s="442" t="s">
        <v>406</v>
      </c>
      <c r="C31" s="458"/>
      <c r="D31" s="373" t="s">
        <v>75</v>
      </c>
      <c r="E31" s="370" t="s">
        <v>206</v>
      </c>
      <c r="F31" s="370">
        <v>32</v>
      </c>
      <c r="G31" s="370"/>
      <c r="H31" s="426"/>
      <c r="I31" s="446"/>
      <c r="J31" s="446"/>
      <c r="K31" s="446"/>
    </row>
    <row r="32" spans="2:12" s="77" customFormat="1" ht="12" customHeight="1" x14ac:dyDescent="0.25">
      <c r="B32" s="441" t="s">
        <v>407</v>
      </c>
      <c r="C32" s="455"/>
      <c r="D32" s="374" t="s">
        <v>76</v>
      </c>
      <c r="E32" s="369"/>
      <c r="F32" s="369"/>
      <c r="G32" s="369"/>
      <c r="H32" s="425"/>
      <c r="I32" s="445"/>
      <c r="J32" s="445"/>
      <c r="K32" s="445"/>
    </row>
    <row r="33" spans="2:11" s="77" customFormat="1" ht="12" customHeight="1" x14ac:dyDescent="0.25">
      <c r="B33" s="442" t="s">
        <v>408</v>
      </c>
      <c r="C33" s="458"/>
      <c r="D33" s="373" t="s">
        <v>75</v>
      </c>
      <c r="E33" s="370" t="s">
        <v>206</v>
      </c>
      <c r="F33" s="370">
        <v>10</v>
      </c>
      <c r="G33" s="370"/>
      <c r="H33" s="426"/>
      <c r="I33" s="446"/>
      <c r="J33" s="446"/>
      <c r="K33" s="446"/>
    </row>
    <row r="34" spans="2:11" s="83" customFormat="1" ht="12" customHeight="1" x14ac:dyDescent="0.25">
      <c r="B34" s="441" t="s">
        <v>409</v>
      </c>
      <c r="C34" s="448"/>
      <c r="D34" s="374" t="s">
        <v>77</v>
      </c>
      <c r="E34" s="376"/>
      <c r="F34" s="376"/>
      <c r="G34" s="369"/>
      <c r="H34" s="425"/>
      <c r="I34" s="445"/>
      <c r="J34" s="445"/>
      <c r="K34" s="445"/>
    </row>
    <row r="35" spans="2:11" s="85" customFormat="1" ht="12" customHeight="1" x14ac:dyDescent="0.25">
      <c r="B35" s="442" t="s">
        <v>410</v>
      </c>
      <c r="C35" s="449"/>
      <c r="D35" s="373" t="s">
        <v>75</v>
      </c>
      <c r="E35" s="370" t="s">
        <v>206</v>
      </c>
      <c r="F35" s="370">
        <v>10</v>
      </c>
      <c r="G35" s="370"/>
      <c r="H35" s="426"/>
      <c r="I35" s="446"/>
      <c r="J35" s="446"/>
      <c r="K35" s="446"/>
    </row>
    <row r="36" spans="2:11" s="85" customFormat="1" ht="12" customHeight="1" x14ac:dyDescent="0.25">
      <c r="B36" s="441" t="s">
        <v>611</v>
      </c>
      <c r="C36" s="451"/>
      <c r="D36" s="374" t="s">
        <v>636</v>
      </c>
      <c r="E36" s="376"/>
      <c r="F36" s="369"/>
      <c r="G36" s="369"/>
      <c r="H36" s="456"/>
      <c r="I36" s="457"/>
      <c r="J36" s="457"/>
      <c r="K36" s="457"/>
    </row>
    <row r="37" spans="2:11" s="85" customFormat="1" ht="12" customHeight="1" x14ac:dyDescent="0.25">
      <c r="B37" s="442" t="s">
        <v>612</v>
      </c>
      <c r="C37" s="458"/>
      <c r="D37" s="373" t="s">
        <v>78</v>
      </c>
      <c r="E37" s="370" t="s">
        <v>206</v>
      </c>
      <c r="F37" s="370">
        <v>3</v>
      </c>
      <c r="G37" s="370"/>
      <c r="H37" s="370"/>
      <c r="I37" s="460"/>
      <c r="J37" s="428"/>
      <c r="K37" s="461"/>
    </row>
    <row r="38" spans="2:11" s="77" customFormat="1" ht="12" customHeight="1" x14ac:dyDescent="0.25">
      <c r="B38" s="441" t="s">
        <v>613</v>
      </c>
      <c r="C38" s="448"/>
      <c r="D38" s="374" t="s">
        <v>637</v>
      </c>
      <c r="E38" s="376"/>
      <c r="F38" s="369"/>
      <c r="G38" s="369"/>
      <c r="H38" s="456"/>
      <c r="I38" s="435"/>
      <c r="J38" s="440"/>
      <c r="K38" s="471"/>
    </row>
    <row r="39" spans="2:11" s="77" customFormat="1" ht="12" customHeight="1" x14ac:dyDescent="0.25">
      <c r="B39" s="442" t="s">
        <v>614</v>
      </c>
      <c r="C39" s="449"/>
      <c r="D39" s="373" t="s">
        <v>78</v>
      </c>
      <c r="E39" s="370" t="s">
        <v>206</v>
      </c>
      <c r="F39" s="370">
        <v>2</v>
      </c>
      <c r="G39" s="370"/>
      <c r="H39" s="459"/>
      <c r="I39" s="439"/>
      <c r="J39" s="438"/>
      <c r="K39" s="465"/>
    </row>
    <row r="40" spans="2:11" s="84" customFormat="1" ht="12" customHeight="1" x14ac:dyDescent="0.25">
      <c r="B40" s="441" t="s">
        <v>615</v>
      </c>
      <c r="C40" s="448"/>
      <c r="D40" s="374" t="s">
        <v>79</v>
      </c>
      <c r="E40" s="376"/>
      <c r="F40" s="369"/>
      <c r="G40" s="369"/>
      <c r="H40" s="369"/>
      <c r="I40" s="457"/>
      <c r="J40" s="457"/>
      <c r="K40" s="457"/>
    </row>
    <row r="41" spans="2:11" s="84" customFormat="1" ht="12" customHeight="1" x14ac:dyDescent="0.25">
      <c r="B41" s="442" t="s">
        <v>616</v>
      </c>
      <c r="C41" s="449"/>
      <c r="D41" s="373" t="s">
        <v>175</v>
      </c>
      <c r="E41" s="370" t="s">
        <v>206</v>
      </c>
      <c r="F41" s="370">
        <v>1</v>
      </c>
      <c r="G41" s="370"/>
      <c r="H41" s="370"/>
      <c r="I41" s="463"/>
      <c r="J41" s="463"/>
      <c r="K41" s="463"/>
    </row>
    <row r="42" spans="2:11" s="84" customFormat="1" ht="12" customHeight="1" x14ac:dyDescent="0.25">
      <c r="B42" s="103"/>
      <c r="C42" s="101"/>
      <c r="D42" s="93"/>
      <c r="E42" s="95"/>
      <c r="F42" s="95"/>
      <c r="G42" s="100"/>
      <c r="H42" s="100"/>
      <c r="I42" s="95"/>
      <c r="J42" s="95"/>
      <c r="K42" s="95"/>
    </row>
    <row r="43" spans="2:11" s="84" customFormat="1" ht="12" customHeight="1" x14ac:dyDescent="0.25">
      <c r="B43" s="96"/>
      <c r="C43" s="102"/>
      <c r="D43" s="359" t="s">
        <v>184</v>
      </c>
      <c r="E43" s="99"/>
      <c r="F43" s="108"/>
      <c r="G43" s="96"/>
      <c r="H43" s="107"/>
      <c r="I43" s="107"/>
      <c r="J43" s="107"/>
      <c r="K43" s="107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  <ignoredErrors>
    <ignoredError sqref="B10:B27 B30:B4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</sheetPr>
  <dimension ref="B1:M43"/>
  <sheetViews>
    <sheetView view="pageBreakPreview" zoomScaleNormal="100" zoomScaleSheetLayoutView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9" customHeight="1" x14ac:dyDescent="0.25">
      <c r="B7" s="90" t="s">
        <v>215</v>
      </c>
      <c r="C7" s="91"/>
      <c r="D7" s="296" t="s">
        <v>625</v>
      </c>
      <c r="E7" s="92"/>
      <c r="F7" s="92"/>
      <c r="G7" s="92"/>
      <c r="H7" s="13"/>
      <c r="I7" s="13"/>
      <c r="J7" s="14"/>
      <c r="K7" s="14"/>
    </row>
    <row r="8" spans="2:13" s="80" customFormat="1" ht="12" customHeight="1" x14ac:dyDescent="0.25">
      <c r="B8" s="374">
        <v>3.18</v>
      </c>
      <c r="C8" s="455"/>
      <c r="D8" s="374" t="s">
        <v>81</v>
      </c>
      <c r="E8" s="376"/>
      <c r="F8" s="369"/>
      <c r="G8" s="369"/>
      <c r="H8" s="369"/>
      <c r="I8" s="457"/>
      <c r="J8" s="457"/>
      <c r="K8" s="457"/>
    </row>
    <row r="9" spans="2:13" s="80" customFormat="1" ht="12" customHeight="1" x14ac:dyDescent="0.25">
      <c r="B9" s="373" t="s">
        <v>617</v>
      </c>
      <c r="C9" s="458"/>
      <c r="D9" s="373" t="s">
        <v>82</v>
      </c>
      <c r="E9" s="462" t="s">
        <v>206</v>
      </c>
      <c r="F9" s="370">
        <v>2</v>
      </c>
      <c r="G9" s="370"/>
      <c r="H9" s="370"/>
      <c r="I9" s="463"/>
      <c r="J9" s="463"/>
      <c r="K9" s="463"/>
    </row>
    <row r="10" spans="2:13" s="81" customFormat="1" ht="12" customHeight="1" x14ac:dyDescent="0.25">
      <c r="B10" s="374">
        <v>3.19</v>
      </c>
      <c r="C10" s="455"/>
      <c r="D10" s="374" t="s">
        <v>83</v>
      </c>
      <c r="E10" s="376"/>
      <c r="F10" s="369"/>
      <c r="G10" s="369"/>
      <c r="H10" s="369"/>
      <c r="I10" s="457"/>
      <c r="J10" s="457"/>
      <c r="K10" s="457"/>
    </row>
    <row r="11" spans="2:13" s="82" customFormat="1" ht="12" customHeight="1" x14ac:dyDescent="0.25">
      <c r="B11" s="373" t="s">
        <v>618</v>
      </c>
      <c r="C11" s="458"/>
      <c r="D11" s="373" t="s">
        <v>84</v>
      </c>
      <c r="E11" s="462" t="s">
        <v>491</v>
      </c>
      <c r="F11" s="370">
        <v>200</v>
      </c>
      <c r="G11" s="370"/>
      <c r="H11" s="370"/>
      <c r="I11" s="463"/>
      <c r="J11" s="463"/>
      <c r="K11" s="463"/>
    </row>
    <row r="12" spans="2:13" s="81" customFormat="1" ht="12" customHeight="1" x14ac:dyDescent="0.25">
      <c r="B12" s="441" t="s">
        <v>1141</v>
      </c>
      <c r="C12" s="455"/>
      <c r="D12" s="374" t="s">
        <v>83</v>
      </c>
      <c r="E12" s="376"/>
      <c r="F12" s="369"/>
      <c r="G12" s="369"/>
      <c r="H12" s="369"/>
      <c r="I12" s="450"/>
      <c r="J12" s="376"/>
      <c r="K12" s="376"/>
    </row>
    <row r="13" spans="2:13" s="82" customFormat="1" ht="12" customHeight="1" x14ac:dyDescent="0.25">
      <c r="B13" s="373" t="s">
        <v>698</v>
      </c>
      <c r="C13" s="458"/>
      <c r="D13" s="373" t="s">
        <v>85</v>
      </c>
      <c r="E13" s="462" t="s">
        <v>491</v>
      </c>
      <c r="F13" s="370">
        <v>200</v>
      </c>
      <c r="G13" s="370"/>
      <c r="H13" s="370"/>
      <c r="I13" s="446"/>
      <c r="J13" s="464"/>
      <c r="K13" s="465"/>
    </row>
    <row r="14" spans="2:13" s="77" customFormat="1" ht="12" customHeight="1" x14ac:dyDescent="0.25">
      <c r="B14" s="441" t="s">
        <v>1168</v>
      </c>
      <c r="C14" s="448"/>
      <c r="D14" s="374" t="s">
        <v>86</v>
      </c>
      <c r="E14" s="376"/>
      <c r="F14" s="376"/>
      <c r="G14" s="369"/>
      <c r="H14" s="425"/>
      <c r="I14" s="457"/>
      <c r="J14" s="376"/>
      <c r="K14" s="376"/>
    </row>
    <row r="15" spans="2:13" s="77" customFormat="1" ht="12" customHeight="1" x14ac:dyDescent="0.25">
      <c r="B15" s="373" t="s">
        <v>1169</v>
      </c>
      <c r="C15" s="449"/>
      <c r="D15" s="466" t="s">
        <v>87</v>
      </c>
      <c r="E15" s="370" t="s">
        <v>166</v>
      </c>
      <c r="F15" s="372" t="s">
        <v>177</v>
      </c>
      <c r="G15" s="370" t="s">
        <v>80</v>
      </c>
      <c r="H15" s="370" t="s">
        <v>80</v>
      </c>
      <c r="I15" s="460">
        <v>30000</v>
      </c>
      <c r="J15" s="464"/>
      <c r="K15" s="465">
        <v>80000</v>
      </c>
    </row>
    <row r="16" spans="2:13" s="77" customFormat="1" ht="12" customHeight="1" x14ac:dyDescent="0.25">
      <c r="B16" s="453"/>
      <c r="C16" s="448"/>
      <c r="D16" s="374"/>
      <c r="E16" s="376"/>
      <c r="F16" s="376"/>
      <c r="G16" s="369"/>
      <c r="H16" s="425"/>
      <c r="I16" s="457"/>
      <c r="J16" s="376"/>
      <c r="K16" s="376"/>
    </row>
    <row r="17" spans="2:11" s="77" customFormat="1" ht="12" customHeight="1" x14ac:dyDescent="0.25">
      <c r="B17" s="454"/>
      <c r="C17" s="449"/>
      <c r="D17" s="466"/>
      <c r="E17" s="370"/>
      <c r="F17" s="372"/>
      <c r="G17" s="370"/>
      <c r="H17" s="370"/>
      <c r="I17" s="460"/>
      <c r="J17" s="464"/>
      <c r="K17" s="465"/>
    </row>
    <row r="18" spans="2:11" s="77" customFormat="1" ht="12" customHeight="1" x14ac:dyDescent="0.25">
      <c r="B18" s="453"/>
      <c r="C18" s="451"/>
      <c r="D18" s="374"/>
      <c r="E18" s="376"/>
      <c r="F18" s="376"/>
      <c r="G18" s="369"/>
      <c r="H18" s="425"/>
      <c r="I18" s="445"/>
      <c r="J18" s="445"/>
      <c r="K18" s="445"/>
    </row>
    <row r="19" spans="2:11" s="77" customFormat="1" ht="12" customHeight="1" x14ac:dyDescent="0.25">
      <c r="B19" s="454"/>
      <c r="C19" s="458"/>
      <c r="D19" s="373"/>
      <c r="E19" s="370"/>
      <c r="F19" s="370"/>
      <c r="G19" s="370"/>
      <c r="H19" s="426"/>
      <c r="I19" s="446"/>
      <c r="J19" s="446"/>
      <c r="K19" s="446"/>
    </row>
    <row r="20" spans="2:11" s="77" customFormat="1" ht="12" customHeight="1" x14ac:dyDescent="0.25">
      <c r="B20" s="453"/>
      <c r="C20" s="467"/>
      <c r="D20" s="374"/>
      <c r="E20" s="369"/>
      <c r="F20" s="369"/>
      <c r="G20" s="369"/>
      <c r="H20" s="425"/>
      <c r="I20" s="457"/>
      <c r="J20" s="457"/>
      <c r="K20" s="457"/>
    </row>
    <row r="21" spans="2:11" s="77" customFormat="1" ht="12" customHeight="1" x14ac:dyDescent="0.25">
      <c r="B21" s="454"/>
      <c r="C21" s="468"/>
      <c r="D21" s="466"/>
      <c r="E21" s="462"/>
      <c r="F21" s="462"/>
      <c r="G21" s="370"/>
      <c r="H21" s="426"/>
      <c r="I21" s="463"/>
      <c r="J21" s="469"/>
      <c r="K21" s="470"/>
    </row>
    <row r="22" spans="2:11" s="77" customFormat="1" ht="12" customHeight="1" x14ac:dyDescent="0.25">
      <c r="B22" s="453"/>
      <c r="C22" s="467"/>
      <c r="D22" s="374"/>
      <c r="E22" s="376"/>
      <c r="F22" s="369"/>
      <c r="G22" s="369"/>
      <c r="H22" s="456"/>
      <c r="I22" s="457"/>
      <c r="J22" s="457"/>
      <c r="K22" s="457"/>
    </row>
    <row r="23" spans="2:11" s="77" customFormat="1" ht="12" customHeight="1" x14ac:dyDescent="0.25">
      <c r="B23" s="454"/>
      <c r="C23" s="468"/>
      <c r="D23" s="373"/>
      <c r="E23" s="370"/>
      <c r="F23" s="370"/>
      <c r="G23" s="370"/>
      <c r="H23" s="370"/>
      <c r="I23" s="460"/>
      <c r="J23" s="428"/>
      <c r="K23" s="461"/>
    </row>
    <row r="24" spans="2:11" s="83" customFormat="1" ht="12" customHeight="1" x14ac:dyDescent="0.25">
      <c r="B24" s="453"/>
      <c r="C24" s="467"/>
      <c r="D24" s="374"/>
      <c r="E24" s="376"/>
      <c r="F24" s="369"/>
      <c r="G24" s="369"/>
      <c r="H24" s="456"/>
      <c r="I24" s="376"/>
      <c r="J24" s="471"/>
      <c r="K24" s="471"/>
    </row>
    <row r="25" spans="2:11" s="84" customFormat="1" ht="12" customHeight="1" x14ac:dyDescent="0.25">
      <c r="B25" s="454"/>
      <c r="C25" s="468"/>
      <c r="D25" s="373"/>
      <c r="E25" s="370"/>
      <c r="F25" s="370"/>
      <c r="G25" s="370"/>
      <c r="H25" s="459"/>
      <c r="I25" s="460"/>
      <c r="J25" s="469"/>
      <c r="K25" s="465"/>
    </row>
    <row r="26" spans="2:11" s="83" customFormat="1" ht="12" customHeight="1" x14ac:dyDescent="0.25">
      <c r="B26" s="453"/>
      <c r="C26" s="472"/>
      <c r="D26" s="374"/>
      <c r="E26" s="376"/>
      <c r="F26" s="369"/>
      <c r="G26" s="369"/>
      <c r="H26" s="456"/>
      <c r="I26" s="457"/>
      <c r="J26" s="457"/>
      <c r="K26" s="457"/>
    </row>
    <row r="27" spans="2:11" s="84" customFormat="1" ht="12" customHeight="1" x14ac:dyDescent="0.25">
      <c r="B27" s="454"/>
      <c r="C27" s="473"/>
      <c r="D27" s="373"/>
      <c r="E27" s="370"/>
      <c r="F27" s="370"/>
      <c r="G27" s="370"/>
      <c r="H27" s="459"/>
      <c r="I27" s="460"/>
      <c r="J27" s="428"/>
      <c r="K27" s="461"/>
    </row>
    <row r="28" spans="2:11" s="77" customFormat="1" ht="12" customHeight="1" x14ac:dyDescent="0.25">
      <c r="B28" s="453"/>
      <c r="C28" s="467"/>
      <c r="D28" s="374"/>
      <c r="E28" s="376"/>
      <c r="F28" s="369"/>
      <c r="G28" s="369"/>
      <c r="H28" s="369"/>
      <c r="I28" s="457"/>
      <c r="J28" s="457"/>
      <c r="K28" s="457"/>
    </row>
    <row r="29" spans="2:11" s="77" customFormat="1" ht="12" customHeight="1" x14ac:dyDescent="0.25">
      <c r="B29" s="454"/>
      <c r="C29" s="468"/>
      <c r="D29" s="373"/>
      <c r="E29" s="462"/>
      <c r="F29" s="370"/>
      <c r="G29" s="370"/>
      <c r="H29" s="370"/>
      <c r="I29" s="463"/>
      <c r="J29" s="463"/>
      <c r="K29" s="463"/>
    </row>
    <row r="30" spans="2:11" s="77" customFormat="1" ht="12" customHeight="1" x14ac:dyDescent="0.25">
      <c r="B30" s="453"/>
      <c r="C30" s="472"/>
      <c r="D30" s="374"/>
      <c r="E30" s="376"/>
      <c r="F30" s="369"/>
      <c r="G30" s="369"/>
      <c r="H30" s="369"/>
      <c r="I30" s="457"/>
      <c r="J30" s="457"/>
      <c r="K30" s="457"/>
    </row>
    <row r="31" spans="2:11" s="77" customFormat="1" ht="12" customHeight="1" x14ac:dyDescent="0.25">
      <c r="B31" s="454"/>
      <c r="C31" s="473"/>
      <c r="D31" s="373"/>
      <c r="E31" s="462"/>
      <c r="F31" s="370"/>
      <c r="G31" s="370"/>
      <c r="H31" s="370"/>
      <c r="I31" s="463"/>
      <c r="J31" s="463"/>
      <c r="K31" s="463"/>
    </row>
    <row r="32" spans="2:11" s="77" customFormat="1" ht="12" customHeight="1" x14ac:dyDescent="0.25">
      <c r="B32" s="453"/>
      <c r="C32" s="467"/>
      <c r="D32" s="374"/>
      <c r="E32" s="376"/>
      <c r="F32" s="369"/>
      <c r="G32" s="369"/>
      <c r="H32" s="369"/>
      <c r="I32" s="450"/>
      <c r="J32" s="376"/>
      <c r="K32" s="376"/>
    </row>
    <row r="33" spans="2:11" s="77" customFormat="1" ht="12" customHeight="1" x14ac:dyDescent="0.25">
      <c r="B33" s="454"/>
      <c r="C33" s="468"/>
      <c r="D33" s="373"/>
      <c r="E33" s="462"/>
      <c r="F33" s="370"/>
      <c r="G33" s="370"/>
      <c r="H33" s="370"/>
      <c r="I33" s="446"/>
      <c r="J33" s="464"/>
      <c r="K33" s="465"/>
    </row>
    <row r="34" spans="2:11" s="83" customFormat="1" ht="12" customHeight="1" x14ac:dyDescent="0.25">
      <c r="B34" s="453"/>
      <c r="C34" s="472"/>
      <c r="D34" s="374"/>
      <c r="E34" s="376"/>
      <c r="F34" s="376"/>
      <c r="G34" s="369"/>
      <c r="H34" s="425"/>
      <c r="I34" s="457"/>
      <c r="J34" s="376"/>
      <c r="K34" s="376"/>
    </row>
    <row r="35" spans="2:11" s="85" customFormat="1" ht="12" customHeight="1" x14ac:dyDescent="0.25">
      <c r="B35" s="454"/>
      <c r="C35" s="473"/>
      <c r="D35" s="466"/>
      <c r="E35" s="370"/>
      <c r="F35" s="372"/>
      <c r="G35" s="370"/>
      <c r="H35" s="370"/>
      <c r="I35" s="460"/>
      <c r="J35" s="464"/>
      <c r="K35" s="465"/>
    </row>
    <row r="36" spans="2:11" s="85" customFormat="1" ht="12" customHeight="1" x14ac:dyDescent="0.25">
      <c r="B36" s="453"/>
      <c r="C36" s="474"/>
      <c r="D36" s="374"/>
      <c r="E36" s="376"/>
      <c r="F36" s="369"/>
      <c r="G36" s="369"/>
      <c r="H36" s="369"/>
      <c r="I36" s="457"/>
      <c r="J36" s="457"/>
      <c r="K36" s="457"/>
    </row>
    <row r="37" spans="2:11" s="85" customFormat="1" ht="12" customHeight="1" x14ac:dyDescent="0.25">
      <c r="B37" s="298"/>
      <c r="C37" s="102"/>
      <c r="D37" s="294"/>
      <c r="E37" s="300"/>
      <c r="F37" s="290"/>
      <c r="G37" s="153"/>
      <c r="H37" s="153"/>
      <c r="I37" s="112"/>
      <c r="J37" s="112"/>
      <c r="K37" s="112"/>
    </row>
    <row r="38" spans="2:11" s="77" customFormat="1" ht="12" customHeight="1" x14ac:dyDescent="0.25">
      <c r="B38" s="333"/>
      <c r="C38" s="101"/>
      <c r="D38" s="293"/>
      <c r="E38" s="295"/>
      <c r="F38" s="291"/>
      <c r="G38" s="152"/>
      <c r="H38" s="152"/>
      <c r="I38" s="88"/>
      <c r="J38" s="297"/>
      <c r="K38" s="297"/>
    </row>
    <row r="39" spans="2:11" s="77" customFormat="1" ht="12" customHeight="1" x14ac:dyDescent="0.25">
      <c r="B39" s="298"/>
      <c r="C39" s="102"/>
      <c r="D39" s="294"/>
      <c r="E39" s="300"/>
      <c r="F39" s="290"/>
      <c r="G39" s="153"/>
      <c r="H39" s="153"/>
      <c r="I39" s="76"/>
      <c r="J39" s="336"/>
      <c r="K39" s="358"/>
    </row>
    <row r="40" spans="2:11" s="84" customFormat="1" ht="12" customHeight="1" x14ac:dyDescent="0.25">
      <c r="B40" s="333"/>
      <c r="C40" s="94"/>
      <c r="D40" s="293"/>
      <c r="E40" s="295"/>
      <c r="F40" s="295"/>
      <c r="G40" s="152"/>
      <c r="H40" s="73"/>
      <c r="I40" s="95"/>
      <c r="J40" s="297"/>
      <c r="K40" s="297"/>
    </row>
    <row r="41" spans="2:11" s="84" customFormat="1" ht="12" customHeight="1" x14ac:dyDescent="0.25">
      <c r="B41" s="298"/>
      <c r="C41" s="97"/>
      <c r="D41" s="299"/>
      <c r="E41" s="290"/>
      <c r="F41" s="318"/>
      <c r="G41" s="153"/>
      <c r="H41" s="153"/>
      <c r="I41" s="337"/>
      <c r="J41" s="336"/>
      <c r="K41" s="358"/>
    </row>
    <row r="42" spans="2:11" s="84" customFormat="1" ht="12" customHeight="1" x14ac:dyDescent="0.25">
      <c r="B42" s="103"/>
      <c r="C42" s="101"/>
      <c r="D42" s="93"/>
      <c r="E42" s="95"/>
      <c r="F42" s="95"/>
      <c r="G42" s="100"/>
      <c r="H42" s="100"/>
      <c r="I42" s="95"/>
      <c r="J42" s="95"/>
      <c r="K42" s="95"/>
    </row>
    <row r="43" spans="2:11" s="84" customFormat="1" ht="12" customHeight="1" x14ac:dyDescent="0.25">
      <c r="B43" s="96"/>
      <c r="C43" s="102"/>
      <c r="D43" s="359" t="s">
        <v>492</v>
      </c>
      <c r="E43" s="99"/>
      <c r="F43" s="108"/>
      <c r="G43" s="96"/>
      <c r="H43" s="107"/>
      <c r="I43" s="107"/>
      <c r="J43" s="107"/>
      <c r="K43" s="107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  <ignoredErrors>
    <ignoredError sqref="B12 B14:B1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2">
    <tabColor theme="9" tint="-0.499984740745262"/>
  </sheetPr>
  <dimension ref="B1:M43"/>
  <sheetViews>
    <sheetView view="pageBreakPreview" zoomScaleNormal="100" zoomScaleSheetLayoutView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sht'!B2:K2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216</v>
      </c>
      <c r="C7" s="91"/>
      <c r="D7" s="296" t="s">
        <v>608</v>
      </c>
      <c r="E7" s="92"/>
      <c r="F7" s="92"/>
      <c r="G7" s="92"/>
      <c r="H7" s="92"/>
      <c r="I7" s="92"/>
      <c r="J7" s="113"/>
      <c r="K7" s="113"/>
    </row>
    <row r="8" spans="2:13" s="80" customFormat="1" ht="12" customHeight="1" x14ac:dyDescent="0.25">
      <c r="B8" s="374">
        <v>4.0999999999999996</v>
      </c>
      <c r="C8" s="423" t="s">
        <v>868</v>
      </c>
      <c r="D8" s="374" t="s">
        <v>982</v>
      </c>
      <c r="E8" s="376"/>
      <c r="F8" s="376"/>
      <c r="G8" s="369"/>
      <c r="H8" s="456"/>
      <c r="I8" s="457"/>
      <c r="J8" s="457"/>
      <c r="K8" s="457"/>
    </row>
    <row r="9" spans="2:13" s="80" customFormat="1" ht="12" customHeight="1" x14ac:dyDescent="0.25">
      <c r="B9" s="373" t="s">
        <v>208</v>
      </c>
      <c r="C9" s="443" t="s">
        <v>1170</v>
      </c>
      <c r="D9" s="373" t="s">
        <v>89</v>
      </c>
      <c r="E9" s="370" t="s">
        <v>206</v>
      </c>
      <c r="F9" s="370">
        <v>12</v>
      </c>
      <c r="G9" s="370" t="s">
        <v>80</v>
      </c>
      <c r="H9" s="459"/>
      <c r="I9" s="463"/>
      <c r="J9" s="463"/>
      <c r="K9" s="463"/>
    </row>
    <row r="10" spans="2:13" s="81" customFormat="1" ht="12" customHeight="1" x14ac:dyDescent="0.25">
      <c r="B10" s="441">
        <v>4.2</v>
      </c>
      <c r="C10" s="448"/>
      <c r="D10" s="374" t="s">
        <v>1187</v>
      </c>
      <c r="E10" s="376"/>
      <c r="F10" s="376"/>
      <c r="G10" s="369"/>
      <c r="H10" s="456"/>
      <c r="I10" s="457"/>
      <c r="J10" s="457"/>
      <c r="K10" s="457"/>
    </row>
    <row r="11" spans="2:13" s="82" customFormat="1" ht="12" customHeight="1" x14ac:dyDescent="0.25">
      <c r="B11" s="373" t="s">
        <v>223</v>
      </c>
      <c r="C11" s="449"/>
      <c r="D11" s="373" t="s">
        <v>89</v>
      </c>
      <c r="E11" s="370" t="s">
        <v>206</v>
      </c>
      <c r="F11" s="370">
        <v>6</v>
      </c>
      <c r="G11" s="370" t="s">
        <v>80</v>
      </c>
      <c r="H11" s="459"/>
      <c r="I11" s="463"/>
      <c r="J11" s="463"/>
      <c r="K11" s="463"/>
    </row>
    <row r="12" spans="2:13" s="81" customFormat="1" ht="12" customHeight="1" x14ac:dyDescent="0.25">
      <c r="B12" s="441">
        <v>4.3</v>
      </c>
      <c r="C12" s="451"/>
      <c r="D12" s="374" t="s">
        <v>1188</v>
      </c>
      <c r="E12" s="376"/>
      <c r="F12" s="369"/>
      <c r="G12" s="369"/>
      <c r="H12" s="456"/>
      <c r="I12" s="457"/>
      <c r="J12" s="457"/>
      <c r="K12" s="457"/>
    </row>
    <row r="13" spans="2:13" s="82" customFormat="1" ht="12" customHeight="1" x14ac:dyDescent="0.25">
      <c r="B13" s="373" t="s">
        <v>240</v>
      </c>
      <c r="C13" s="458"/>
      <c r="D13" s="373" t="s">
        <v>89</v>
      </c>
      <c r="E13" s="370" t="s">
        <v>206</v>
      </c>
      <c r="F13" s="370">
        <v>24</v>
      </c>
      <c r="G13" s="370" t="s">
        <v>80</v>
      </c>
      <c r="H13" s="459"/>
      <c r="I13" s="463"/>
      <c r="J13" s="463"/>
      <c r="K13" s="463"/>
    </row>
    <row r="14" spans="2:13" s="77" customFormat="1" ht="12" customHeight="1" x14ac:dyDescent="0.25">
      <c r="B14" s="441">
        <v>4.4000000000000004</v>
      </c>
      <c r="C14" s="448"/>
      <c r="D14" s="374" t="s">
        <v>981</v>
      </c>
      <c r="E14" s="376"/>
      <c r="F14" s="369"/>
      <c r="G14" s="369"/>
      <c r="H14" s="456"/>
      <c r="I14" s="457"/>
      <c r="J14" s="457"/>
      <c r="K14" s="457"/>
    </row>
    <row r="15" spans="2:13" s="77" customFormat="1" ht="12" customHeight="1" x14ac:dyDescent="0.25">
      <c r="B15" s="373" t="s">
        <v>241</v>
      </c>
      <c r="C15" s="449"/>
      <c r="D15" s="373" t="s">
        <v>984</v>
      </c>
      <c r="E15" s="370" t="s">
        <v>206</v>
      </c>
      <c r="F15" s="370">
        <v>9</v>
      </c>
      <c r="G15" s="370" t="s">
        <v>80</v>
      </c>
      <c r="H15" s="459"/>
      <c r="I15" s="463"/>
      <c r="J15" s="463"/>
      <c r="K15" s="463"/>
    </row>
    <row r="16" spans="2:13" s="77" customFormat="1" ht="12" customHeight="1" x14ac:dyDescent="0.25">
      <c r="B16" s="441">
        <v>4.5</v>
      </c>
      <c r="C16" s="448"/>
      <c r="D16" s="374" t="s">
        <v>799</v>
      </c>
      <c r="E16" s="376"/>
      <c r="F16" s="369"/>
      <c r="G16" s="369"/>
      <c r="H16" s="456"/>
      <c r="I16" s="457"/>
      <c r="J16" s="457"/>
      <c r="K16" s="457"/>
    </row>
    <row r="17" spans="2:11" s="77" customFormat="1" ht="12" customHeight="1" x14ac:dyDescent="0.25">
      <c r="B17" s="373" t="s">
        <v>242</v>
      </c>
      <c r="C17" s="449"/>
      <c r="D17" s="373" t="s">
        <v>985</v>
      </c>
      <c r="E17" s="370" t="s">
        <v>206</v>
      </c>
      <c r="F17" s="370">
        <v>27</v>
      </c>
      <c r="G17" s="370" t="s">
        <v>80</v>
      </c>
      <c r="H17" s="459"/>
      <c r="I17" s="463"/>
      <c r="J17" s="463"/>
      <c r="K17" s="463"/>
    </row>
    <row r="18" spans="2:11" s="77" customFormat="1" ht="12" customHeight="1" x14ac:dyDescent="0.25">
      <c r="B18" s="441">
        <v>4.5999999999999996</v>
      </c>
      <c r="C18" s="448"/>
      <c r="D18" s="374" t="s">
        <v>800</v>
      </c>
      <c r="E18" s="376"/>
      <c r="F18" s="369"/>
      <c r="G18" s="369"/>
      <c r="H18" s="456"/>
      <c r="I18" s="457"/>
      <c r="J18" s="457"/>
      <c r="K18" s="457"/>
    </row>
    <row r="19" spans="2:11" s="77" customFormat="1" ht="12" customHeight="1" x14ac:dyDescent="0.25">
      <c r="B19" s="373" t="s">
        <v>243</v>
      </c>
      <c r="C19" s="449"/>
      <c r="D19" s="373" t="s">
        <v>985</v>
      </c>
      <c r="E19" s="370" t="s">
        <v>206</v>
      </c>
      <c r="F19" s="370">
        <v>39</v>
      </c>
      <c r="G19" s="370" t="s">
        <v>80</v>
      </c>
      <c r="H19" s="459"/>
      <c r="I19" s="463"/>
      <c r="J19" s="463"/>
      <c r="K19" s="463"/>
    </row>
    <row r="20" spans="2:11" s="77" customFormat="1" ht="12" customHeight="1" x14ac:dyDescent="0.25">
      <c r="B20" s="441">
        <v>4.7</v>
      </c>
      <c r="C20" s="448"/>
      <c r="D20" s="374" t="s">
        <v>983</v>
      </c>
      <c r="E20" s="369"/>
      <c r="F20" s="369"/>
      <c r="G20" s="369"/>
      <c r="H20" s="456"/>
      <c r="I20" s="457"/>
      <c r="J20" s="457"/>
      <c r="K20" s="457"/>
    </row>
    <row r="21" spans="2:11" s="77" customFormat="1" ht="12" customHeight="1" x14ac:dyDescent="0.25">
      <c r="B21" s="373" t="s">
        <v>250</v>
      </c>
      <c r="C21" s="449"/>
      <c r="D21" s="373" t="s">
        <v>801</v>
      </c>
      <c r="E21" s="370" t="s">
        <v>206</v>
      </c>
      <c r="F21" s="370">
        <v>9</v>
      </c>
      <c r="G21" s="370" t="s">
        <v>80</v>
      </c>
      <c r="H21" s="459"/>
      <c r="I21" s="463"/>
      <c r="J21" s="463"/>
      <c r="K21" s="463"/>
    </row>
    <row r="22" spans="2:11" s="77" customFormat="1" ht="12" customHeight="1" x14ac:dyDescent="0.25">
      <c r="B22" s="441">
        <v>4.8</v>
      </c>
      <c r="C22" s="448"/>
      <c r="D22" s="374" t="s">
        <v>1020</v>
      </c>
      <c r="E22" s="369"/>
      <c r="F22" s="369"/>
      <c r="G22" s="369"/>
      <c r="H22" s="456"/>
      <c r="I22" s="457"/>
      <c r="J22" s="457"/>
      <c r="K22" s="457"/>
    </row>
    <row r="23" spans="2:11" s="77" customFormat="1" ht="12" customHeight="1" x14ac:dyDescent="0.25">
      <c r="B23" s="373" t="s">
        <v>420</v>
      </c>
      <c r="C23" s="449"/>
      <c r="D23" s="373" t="s">
        <v>801</v>
      </c>
      <c r="E23" s="370" t="s">
        <v>206</v>
      </c>
      <c r="F23" s="370">
        <v>6</v>
      </c>
      <c r="G23" s="370" t="s">
        <v>80</v>
      </c>
      <c r="H23" s="459"/>
      <c r="I23" s="463"/>
      <c r="J23" s="463"/>
      <c r="K23" s="463"/>
    </row>
    <row r="24" spans="2:11" s="83" customFormat="1" ht="12" customHeight="1" x14ac:dyDescent="0.25">
      <c r="B24" s="441">
        <v>4.9000000000000004</v>
      </c>
      <c r="C24" s="448"/>
      <c r="D24" s="374" t="s">
        <v>986</v>
      </c>
      <c r="E24" s="369"/>
      <c r="F24" s="369"/>
      <c r="G24" s="369"/>
      <c r="H24" s="456"/>
      <c r="I24" s="457"/>
      <c r="J24" s="457"/>
      <c r="K24" s="457"/>
    </row>
    <row r="25" spans="2:11" s="84" customFormat="1" ht="12" customHeight="1" x14ac:dyDescent="0.25">
      <c r="B25" s="373" t="s">
        <v>421</v>
      </c>
      <c r="C25" s="449"/>
      <c r="D25" s="373" t="s">
        <v>89</v>
      </c>
      <c r="E25" s="370" t="s">
        <v>206</v>
      </c>
      <c r="F25" s="370">
        <v>39</v>
      </c>
      <c r="G25" s="370" t="s">
        <v>80</v>
      </c>
      <c r="H25" s="459"/>
      <c r="I25" s="463"/>
      <c r="J25" s="463"/>
      <c r="K25" s="463"/>
    </row>
    <row r="26" spans="2:11" s="83" customFormat="1" ht="12" customHeight="1" x14ac:dyDescent="0.25">
      <c r="B26" s="441" t="s">
        <v>423</v>
      </c>
      <c r="C26" s="423"/>
      <c r="D26" s="374" t="s">
        <v>987</v>
      </c>
      <c r="E26" s="369"/>
      <c r="F26" s="369"/>
      <c r="G26" s="369"/>
      <c r="H26" s="456"/>
      <c r="I26" s="457"/>
      <c r="J26" s="457"/>
      <c r="K26" s="457"/>
    </row>
    <row r="27" spans="2:11" s="84" customFormat="1" ht="12" customHeight="1" x14ac:dyDescent="0.25">
      <c r="B27" s="373" t="s">
        <v>424</v>
      </c>
      <c r="C27" s="443"/>
      <c r="D27" s="373" t="s">
        <v>90</v>
      </c>
      <c r="E27" s="370" t="s">
        <v>206</v>
      </c>
      <c r="F27" s="370">
        <v>12</v>
      </c>
      <c r="G27" s="370" t="s">
        <v>80</v>
      </c>
      <c r="H27" s="459"/>
      <c r="I27" s="463"/>
      <c r="J27" s="463"/>
      <c r="K27" s="463"/>
    </row>
    <row r="28" spans="2:11" s="77" customFormat="1" ht="12" customHeight="1" x14ac:dyDescent="0.25">
      <c r="B28" s="441">
        <v>4.1100000000000003</v>
      </c>
      <c r="C28" s="448"/>
      <c r="D28" s="374" t="s">
        <v>988</v>
      </c>
      <c r="E28" s="369"/>
      <c r="F28" s="369"/>
      <c r="G28" s="369"/>
      <c r="H28" s="456"/>
      <c r="I28" s="457"/>
      <c r="J28" s="457"/>
      <c r="K28" s="457"/>
    </row>
    <row r="29" spans="2:11" s="77" customFormat="1" ht="12" customHeight="1" x14ac:dyDescent="0.25">
      <c r="B29" s="373" t="s">
        <v>425</v>
      </c>
      <c r="C29" s="449"/>
      <c r="D29" s="373" t="s">
        <v>90</v>
      </c>
      <c r="E29" s="370" t="s">
        <v>206</v>
      </c>
      <c r="F29" s="370">
        <v>96</v>
      </c>
      <c r="G29" s="370" t="s">
        <v>80</v>
      </c>
      <c r="H29" s="459"/>
      <c r="I29" s="463"/>
      <c r="J29" s="463"/>
      <c r="K29" s="463"/>
    </row>
    <row r="30" spans="2:11" s="77" customFormat="1" ht="12" customHeight="1" x14ac:dyDescent="0.25">
      <c r="B30" s="441">
        <v>4.12</v>
      </c>
      <c r="C30" s="504"/>
      <c r="D30" s="374" t="s">
        <v>989</v>
      </c>
      <c r="E30" s="369"/>
      <c r="F30" s="376"/>
      <c r="G30" s="369"/>
      <c r="H30" s="456"/>
      <c r="I30" s="457"/>
      <c r="J30" s="457"/>
      <c r="K30" s="457"/>
    </row>
    <row r="31" spans="2:11" s="77" customFormat="1" ht="12" customHeight="1" x14ac:dyDescent="0.25">
      <c r="B31" s="373" t="s">
        <v>185</v>
      </c>
      <c r="C31" s="505"/>
      <c r="D31" s="373" t="s">
        <v>89</v>
      </c>
      <c r="E31" s="370" t="s">
        <v>206</v>
      </c>
      <c r="F31" s="370">
        <v>12</v>
      </c>
      <c r="G31" s="370" t="s">
        <v>80</v>
      </c>
      <c r="H31" s="459"/>
      <c r="I31" s="463"/>
      <c r="J31" s="463"/>
      <c r="K31" s="463"/>
    </row>
    <row r="32" spans="2:11" s="77" customFormat="1" ht="12" customHeight="1" x14ac:dyDescent="0.25">
      <c r="B32" s="441">
        <v>4.13</v>
      </c>
      <c r="C32" s="448"/>
      <c r="D32" s="374" t="s">
        <v>990</v>
      </c>
      <c r="E32" s="369"/>
      <c r="F32" s="376"/>
      <c r="G32" s="369"/>
      <c r="H32" s="456"/>
      <c r="I32" s="509"/>
      <c r="J32" s="509"/>
      <c r="K32" s="509"/>
    </row>
    <row r="33" spans="2:11" s="77" customFormat="1" ht="12" customHeight="1" x14ac:dyDescent="0.25">
      <c r="B33" s="373" t="s">
        <v>871</v>
      </c>
      <c r="C33" s="449"/>
      <c r="D33" s="373" t="s">
        <v>89</v>
      </c>
      <c r="E33" s="370" t="s">
        <v>206</v>
      </c>
      <c r="F33" s="370">
        <v>30</v>
      </c>
      <c r="G33" s="370" t="s">
        <v>80</v>
      </c>
      <c r="H33" s="459"/>
      <c r="I33" s="463"/>
      <c r="J33" s="463"/>
      <c r="K33" s="463"/>
    </row>
    <row r="34" spans="2:11" s="83" customFormat="1" ht="12" customHeight="1" x14ac:dyDescent="0.25">
      <c r="B34" s="441">
        <v>4.1399999999999997</v>
      </c>
      <c r="C34" s="423"/>
      <c r="D34" s="374" t="s">
        <v>1019</v>
      </c>
      <c r="E34" s="369"/>
      <c r="F34" s="376"/>
      <c r="G34" s="369"/>
      <c r="H34" s="456"/>
      <c r="I34" s="457"/>
      <c r="J34" s="457"/>
      <c r="K34" s="457"/>
    </row>
    <row r="35" spans="2:11" s="85" customFormat="1" ht="12" customHeight="1" x14ac:dyDescent="0.25">
      <c r="B35" s="373" t="s">
        <v>872</v>
      </c>
      <c r="C35" s="443"/>
      <c r="D35" s="373" t="s">
        <v>89</v>
      </c>
      <c r="E35" s="370" t="s">
        <v>206</v>
      </c>
      <c r="F35" s="370">
        <v>60</v>
      </c>
      <c r="G35" s="370" t="s">
        <v>80</v>
      </c>
      <c r="H35" s="459"/>
      <c r="I35" s="463"/>
      <c r="J35" s="463"/>
      <c r="K35" s="463"/>
    </row>
    <row r="36" spans="2:11" s="85" customFormat="1" ht="12" customHeight="1" x14ac:dyDescent="0.25">
      <c r="B36" s="441">
        <v>4.1500000000000004</v>
      </c>
      <c r="C36" s="451"/>
      <c r="D36" s="293" t="s">
        <v>991</v>
      </c>
      <c r="E36" s="291"/>
      <c r="F36" s="291"/>
      <c r="G36" s="152"/>
      <c r="H36" s="456"/>
      <c r="I36" s="457"/>
      <c r="J36" s="457"/>
      <c r="K36" s="457"/>
    </row>
    <row r="37" spans="2:11" s="85" customFormat="1" ht="12" customHeight="1" x14ac:dyDescent="0.25">
      <c r="B37" s="373" t="s">
        <v>873</v>
      </c>
      <c r="C37" s="458"/>
      <c r="D37" s="288" t="s">
        <v>89</v>
      </c>
      <c r="E37" s="290" t="s">
        <v>206</v>
      </c>
      <c r="F37" s="290">
        <v>24</v>
      </c>
      <c r="G37" s="153" t="s">
        <v>80</v>
      </c>
      <c r="H37" s="459"/>
      <c r="I37" s="463"/>
      <c r="J37" s="463"/>
      <c r="K37" s="463"/>
    </row>
    <row r="38" spans="2:11" s="77" customFormat="1" ht="12" customHeight="1" x14ac:dyDescent="0.25">
      <c r="B38" s="441">
        <v>4.16</v>
      </c>
      <c r="C38" s="494"/>
      <c r="D38" s="293" t="s">
        <v>992</v>
      </c>
      <c r="E38" s="291"/>
      <c r="F38" s="291"/>
      <c r="G38" s="152"/>
      <c r="H38" s="456"/>
      <c r="I38" s="457"/>
      <c r="J38" s="457"/>
      <c r="K38" s="457"/>
    </row>
    <row r="39" spans="2:11" s="77" customFormat="1" ht="12" customHeight="1" x14ac:dyDescent="0.25">
      <c r="B39" s="373" t="s">
        <v>874</v>
      </c>
      <c r="C39" s="495"/>
      <c r="D39" s="288" t="s">
        <v>89</v>
      </c>
      <c r="E39" s="290" t="s">
        <v>206</v>
      </c>
      <c r="F39" s="290">
        <v>18</v>
      </c>
      <c r="G39" s="153" t="s">
        <v>80</v>
      </c>
      <c r="H39" s="459"/>
      <c r="I39" s="463"/>
      <c r="J39" s="463"/>
      <c r="K39" s="463"/>
    </row>
    <row r="40" spans="2:11" s="84" customFormat="1" ht="12" customHeight="1" x14ac:dyDescent="0.25">
      <c r="B40" s="441">
        <v>4.17</v>
      </c>
      <c r="C40" s="494"/>
      <c r="D40" s="374" t="s">
        <v>718</v>
      </c>
      <c r="E40" s="376"/>
      <c r="F40" s="369"/>
      <c r="G40" s="369"/>
      <c r="H40" s="456"/>
      <c r="I40" s="457"/>
      <c r="J40" s="457"/>
      <c r="K40" s="457"/>
    </row>
    <row r="41" spans="2:11" s="84" customFormat="1" ht="12" customHeight="1" x14ac:dyDescent="0.25">
      <c r="B41" s="373" t="s">
        <v>875</v>
      </c>
      <c r="C41" s="495"/>
      <c r="D41" s="373" t="s">
        <v>89</v>
      </c>
      <c r="E41" s="370" t="s">
        <v>206</v>
      </c>
      <c r="F41" s="370">
        <v>18</v>
      </c>
      <c r="G41" s="370" t="s">
        <v>80</v>
      </c>
      <c r="H41" s="459"/>
      <c r="I41" s="463"/>
      <c r="J41" s="463"/>
      <c r="K41" s="463"/>
    </row>
    <row r="42" spans="2:11" s="84" customFormat="1" ht="12" customHeight="1" x14ac:dyDescent="0.25">
      <c r="B42" s="103"/>
      <c r="C42" s="286"/>
      <c r="D42" s="285"/>
      <c r="E42" s="152"/>
      <c r="F42" s="297"/>
      <c r="G42" s="100"/>
      <c r="H42" s="100"/>
      <c r="I42" s="95"/>
      <c r="J42" s="95"/>
      <c r="K42" s="95"/>
    </row>
    <row r="43" spans="2:11" s="84" customFormat="1" ht="12" customHeight="1" x14ac:dyDescent="0.25">
      <c r="B43" s="96"/>
      <c r="C43" s="301"/>
      <c r="D43" s="359" t="s">
        <v>184</v>
      </c>
      <c r="E43" s="153"/>
      <c r="F43" s="302"/>
      <c r="G43" s="153"/>
      <c r="H43" s="99"/>
      <c r="I43" s="112"/>
      <c r="J43" s="112"/>
      <c r="K43" s="112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ignoredErrors>
    <ignoredError sqref="B2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50"/>
  </sheetPr>
  <dimension ref="B1:M43"/>
  <sheetViews>
    <sheetView view="pageBreakPreview" zoomScaleNormal="100" workbookViewId="0">
      <selection activeCell="B2" sqref="B2:K2"/>
    </sheetView>
  </sheetViews>
  <sheetFormatPr defaultColWidth="9.109375" defaultRowHeight="13.2" x14ac:dyDescent="0.25"/>
  <cols>
    <col min="1" max="1" width="0.88671875" style="1" customWidth="1"/>
    <col min="2" max="2" width="8.6640625" style="1" customWidth="1"/>
    <col min="3" max="3" width="15.6640625" style="1" customWidth="1"/>
    <col min="4" max="4" width="55.6640625" style="1" customWidth="1"/>
    <col min="5" max="5" width="6.6640625" style="16" customWidth="1"/>
    <col min="6" max="6" width="8.6640625" style="1" customWidth="1"/>
    <col min="7" max="8" width="12.6640625" style="1" customWidth="1"/>
    <col min="9" max="10" width="12.6640625" style="1" hidden="1" customWidth="1"/>
    <col min="11" max="11" width="12.6640625" style="1" customWidth="1"/>
    <col min="12" max="12" width="9.109375" style="1"/>
    <col min="13" max="13" width="9.109375" style="1" hidden="1" customWidth="1"/>
    <col min="14" max="16384" width="9.109375" style="1"/>
  </cols>
  <sheetData>
    <row r="1" spans="2:13" ht="6" customHeight="1" x14ac:dyDescent="0.25">
      <c r="B1" s="620"/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0.100000000000001" customHeight="1" x14ac:dyDescent="0.35">
      <c r="B2" s="604" t="str">
        <f>'Cover sht'!B2</f>
        <v xml:space="preserve">Dimbaza 66/11kV Substation Refurbishment </v>
      </c>
      <c r="C2" s="650"/>
      <c r="D2" s="650"/>
      <c r="E2" s="650"/>
      <c r="F2" s="650"/>
      <c r="G2" s="650"/>
      <c r="H2" s="650"/>
      <c r="I2" s="650"/>
      <c r="J2" s="650"/>
      <c r="K2" s="651"/>
      <c r="L2" s="2"/>
      <c r="M2" s="2"/>
    </row>
    <row r="3" spans="2:13" ht="6" customHeight="1" x14ac:dyDescent="0.25">
      <c r="B3" s="626"/>
      <c r="C3" s="649"/>
      <c r="D3" s="649"/>
      <c r="E3" s="649"/>
      <c r="F3" s="649"/>
      <c r="G3" s="649"/>
      <c r="H3" s="649"/>
      <c r="I3" s="649"/>
      <c r="J3" s="649"/>
      <c r="K3" s="649"/>
    </row>
    <row r="4" spans="2:13" s="2" customFormat="1" ht="12" customHeight="1" x14ac:dyDescent="0.25">
      <c r="B4" s="644" t="s">
        <v>195</v>
      </c>
      <c r="C4" s="646" t="s">
        <v>165</v>
      </c>
      <c r="D4" s="644" t="s">
        <v>196</v>
      </c>
      <c r="E4" s="644" t="s">
        <v>197</v>
      </c>
      <c r="F4" s="644" t="s">
        <v>198</v>
      </c>
      <c r="G4" s="644" t="s">
        <v>414</v>
      </c>
      <c r="H4" s="644" t="s">
        <v>218</v>
      </c>
      <c r="I4" s="170" t="s">
        <v>199</v>
      </c>
      <c r="J4" s="283" t="s">
        <v>199</v>
      </c>
      <c r="K4" s="170" t="s">
        <v>221</v>
      </c>
      <c r="L4" s="4"/>
    </row>
    <row r="5" spans="2:13" s="2" customFormat="1" ht="12" customHeight="1" x14ac:dyDescent="0.25">
      <c r="B5" s="645"/>
      <c r="C5" s="647"/>
      <c r="D5" s="645"/>
      <c r="E5" s="645"/>
      <c r="F5" s="645"/>
      <c r="G5" s="645"/>
      <c r="H5" s="645"/>
      <c r="I5" s="171" t="s">
        <v>219</v>
      </c>
      <c r="J5" s="284" t="s">
        <v>220</v>
      </c>
      <c r="K5" s="171" t="s">
        <v>222</v>
      </c>
      <c r="L5" s="4"/>
    </row>
    <row r="6" spans="2:13" s="2" customFormat="1" ht="6" hidden="1" customHeight="1" x14ac:dyDescent="0.25">
      <c r="B6" s="6"/>
      <c r="C6" s="79"/>
      <c r="D6" s="3"/>
      <c r="E6" s="5"/>
      <c r="F6" s="5"/>
      <c r="G6" s="5"/>
      <c r="H6" s="5"/>
      <c r="I6" s="5"/>
      <c r="J6" s="7"/>
      <c r="K6" s="7"/>
    </row>
    <row r="7" spans="2:13" s="80" customFormat="1" ht="12" customHeight="1" x14ac:dyDescent="0.25">
      <c r="B7" s="90" t="s">
        <v>216</v>
      </c>
      <c r="C7" s="91"/>
      <c r="D7" s="296" t="s">
        <v>626</v>
      </c>
      <c r="E7" s="92"/>
      <c r="F7" s="92"/>
      <c r="G7" s="92"/>
      <c r="H7" s="92"/>
      <c r="I7" s="92"/>
      <c r="J7" s="113"/>
      <c r="K7" s="113"/>
    </row>
    <row r="8" spans="2:13" s="80" customFormat="1" ht="12" customHeight="1" x14ac:dyDescent="0.25">
      <c r="B8" s="374">
        <v>4.18</v>
      </c>
      <c r="C8" s="423" t="s">
        <v>868</v>
      </c>
      <c r="D8" s="374" t="s">
        <v>92</v>
      </c>
      <c r="E8" s="369"/>
      <c r="F8" s="369"/>
      <c r="G8" s="369"/>
      <c r="H8" s="456"/>
      <c r="I8" s="457"/>
      <c r="J8" s="457"/>
      <c r="K8" s="457"/>
    </row>
    <row r="9" spans="2:13" s="80" customFormat="1" ht="12" customHeight="1" x14ac:dyDescent="0.25">
      <c r="B9" s="373" t="s">
        <v>186</v>
      </c>
      <c r="C9" s="443" t="s">
        <v>1170</v>
      </c>
      <c r="D9" s="373" t="s">
        <v>93</v>
      </c>
      <c r="E9" s="370" t="s">
        <v>206</v>
      </c>
      <c r="F9" s="370">
        <v>18</v>
      </c>
      <c r="G9" s="370"/>
      <c r="H9" s="459"/>
      <c r="I9" s="463"/>
      <c r="J9" s="463"/>
      <c r="K9" s="463"/>
    </row>
    <row r="10" spans="2:13" s="81" customFormat="1" ht="12" customHeight="1" x14ac:dyDescent="0.25">
      <c r="B10" s="374">
        <v>4.1900000000000004</v>
      </c>
      <c r="C10" s="423" t="s">
        <v>868</v>
      </c>
      <c r="D10" s="374" t="s">
        <v>95</v>
      </c>
      <c r="E10" s="369"/>
      <c r="F10" s="369"/>
      <c r="G10" s="369"/>
      <c r="H10" s="369"/>
      <c r="I10" s="457"/>
      <c r="J10" s="457"/>
      <c r="K10" s="457"/>
    </row>
    <row r="11" spans="2:13" s="82" customFormat="1" ht="12" customHeight="1" x14ac:dyDescent="0.25">
      <c r="B11" s="373" t="s">
        <v>187</v>
      </c>
      <c r="C11" s="443" t="s">
        <v>1181</v>
      </c>
      <c r="D11" s="373" t="s">
        <v>717</v>
      </c>
      <c r="E11" s="370" t="s">
        <v>204</v>
      </c>
      <c r="F11" s="370">
        <v>200</v>
      </c>
      <c r="G11" s="370" t="s">
        <v>80</v>
      </c>
      <c r="H11" s="370"/>
      <c r="I11" s="463"/>
      <c r="J11" s="463"/>
      <c r="K11" s="463"/>
    </row>
    <row r="12" spans="2:13" s="81" customFormat="1" ht="12" customHeight="1" x14ac:dyDescent="0.2">
      <c r="B12" s="441" t="s">
        <v>188</v>
      </c>
      <c r="C12" s="423"/>
      <c r="D12" s="506" t="s">
        <v>876</v>
      </c>
      <c r="E12" s="369"/>
      <c r="F12" s="369"/>
      <c r="G12" s="425"/>
      <c r="H12" s="369"/>
      <c r="I12" s="457"/>
      <c r="J12" s="457"/>
      <c r="K12" s="457"/>
    </row>
    <row r="13" spans="2:13" s="82" customFormat="1" ht="12" customHeight="1" x14ac:dyDescent="0.2">
      <c r="B13" s="373" t="s">
        <v>189</v>
      </c>
      <c r="C13" s="443"/>
      <c r="D13" s="507" t="s">
        <v>877</v>
      </c>
      <c r="E13" s="370" t="s">
        <v>206</v>
      </c>
      <c r="F13" s="370">
        <v>4</v>
      </c>
      <c r="G13" s="426"/>
      <c r="H13" s="370"/>
      <c r="I13" s="463"/>
      <c r="J13" s="463"/>
      <c r="K13" s="463"/>
    </row>
    <row r="14" spans="2:13" s="77" customFormat="1" ht="12" customHeight="1" x14ac:dyDescent="0.25">
      <c r="B14" s="441">
        <v>4.21</v>
      </c>
      <c r="C14" s="494"/>
      <c r="D14" s="374" t="s">
        <v>96</v>
      </c>
      <c r="E14" s="369"/>
      <c r="F14" s="369"/>
      <c r="G14" s="369"/>
      <c r="H14" s="369"/>
      <c r="I14" s="457"/>
      <c r="J14" s="457"/>
      <c r="K14" s="457"/>
    </row>
    <row r="15" spans="2:13" s="77" customFormat="1" ht="12" customHeight="1" x14ac:dyDescent="0.25">
      <c r="B15" s="373" t="s">
        <v>190</v>
      </c>
      <c r="C15" s="495"/>
      <c r="D15" s="373" t="s">
        <v>89</v>
      </c>
      <c r="E15" s="370" t="s">
        <v>166</v>
      </c>
      <c r="F15" s="370" t="s">
        <v>177</v>
      </c>
      <c r="G15" s="370" t="s">
        <v>80</v>
      </c>
      <c r="H15" s="370"/>
      <c r="I15" s="463"/>
      <c r="J15" s="463"/>
      <c r="K15" s="463"/>
    </row>
    <row r="16" spans="2:13" s="77" customFormat="1" ht="12" customHeight="1" x14ac:dyDescent="0.2">
      <c r="B16" s="441">
        <v>4.22</v>
      </c>
      <c r="C16" s="423"/>
      <c r="D16" s="506" t="s">
        <v>878</v>
      </c>
      <c r="E16" s="369"/>
      <c r="F16" s="369"/>
      <c r="G16" s="369"/>
      <c r="H16" s="456"/>
      <c r="I16" s="457"/>
      <c r="J16" s="457"/>
      <c r="K16" s="457"/>
    </row>
    <row r="17" spans="2:11" s="77" customFormat="1" ht="12" customHeight="1" x14ac:dyDescent="0.2">
      <c r="B17" s="373" t="s">
        <v>191</v>
      </c>
      <c r="C17" s="443"/>
      <c r="D17" s="507" t="s">
        <v>1154</v>
      </c>
      <c r="E17" s="370" t="s">
        <v>206</v>
      </c>
      <c r="F17" s="370">
        <v>3</v>
      </c>
      <c r="G17" s="370" t="s">
        <v>80</v>
      </c>
      <c r="H17" s="459"/>
      <c r="I17" s="463"/>
      <c r="J17" s="463"/>
      <c r="K17" s="463"/>
    </row>
    <row r="18" spans="2:11" s="77" customFormat="1" ht="12" customHeight="1" x14ac:dyDescent="0.2">
      <c r="B18" s="441">
        <v>4.2300000000000004</v>
      </c>
      <c r="C18" s="423"/>
      <c r="D18" s="506" t="s">
        <v>885</v>
      </c>
      <c r="E18" s="369"/>
      <c r="F18" s="369"/>
      <c r="G18" s="369"/>
      <c r="H18" s="456"/>
      <c r="I18" s="457"/>
      <c r="J18" s="457"/>
      <c r="K18" s="457"/>
    </row>
    <row r="19" spans="2:11" s="77" customFormat="1" ht="12" customHeight="1" x14ac:dyDescent="0.2">
      <c r="B19" s="373" t="s">
        <v>192</v>
      </c>
      <c r="C19" s="443"/>
      <c r="D19" s="507" t="s">
        <v>1154</v>
      </c>
      <c r="E19" s="370" t="s">
        <v>206</v>
      </c>
      <c r="F19" s="370">
        <v>2</v>
      </c>
      <c r="G19" s="370" t="s">
        <v>80</v>
      </c>
      <c r="H19" s="459"/>
      <c r="I19" s="463"/>
      <c r="J19" s="463"/>
      <c r="K19" s="508"/>
    </row>
    <row r="20" spans="2:11" s="77" customFormat="1" ht="12" customHeight="1" x14ac:dyDescent="0.2">
      <c r="B20" s="441">
        <v>4.24</v>
      </c>
      <c r="C20" s="448"/>
      <c r="D20" s="506" t="s">
        <v>1021</v>
      </c>
      <c r="E20" s="369"/>
      <c r="F20" s="369"/>
      <c r="G20" s="369"/>
      <c r="H20" s="456"/>
      <c r="I20" s="457"/>
      <c r="J20" s="457"/>
      <c r="K20" s="457"/>
    </row>
    <row r="21" spans="2:11" s="77" customFormat="1" ht="12" customHeight="1" x14ac:dyDescent="0.2">
      <c r="B21" s="373" t="s">
        <v>193</v>
      </c>
      <c r="C21" s="449"/>
      <c r="D21" s="507" t="s">
        <v>1154</v>
      </c>
      <c r="E21" s="370" t="s">
        <v>166</v>
      </c>
      <c r="F21" s="372" t="s">
        <v>177</v>
      </c>
      <c r="G21" s="370" t="s">
        <v>80</v>
      </c>
      <c r="H21" s="459"/>
      <c r="I21" s="463"/>
      <c r="J21" s="463"/>
      <c r="K21" s="508"/>
    </row>
    <row r="22" spans="2:11" s="77" customFormat="1" ht="12" customHeight="1" x14ac:dyDescent="0.2">
      <c r="B22" s="441">
        <v>4.25</v>
      </c>
      <c r="C22" s="423"/>
      <c r="D22" s="506" t="s">
        <v>704</v>
      </c>
      <c r="E22" s="369"/>
      <c r="F22" s="369"/>
      <c r="G22" s="425"/>
      <c r="H22" s="456"/>
      <c r="I22" s="509"/>
      <c r="J22" s="509"/>
      <c r="K22" s="509"/>
    </row>
    <row r="23" spans="2:11" s="77" customFormat="1" ht="12" customHeight="1" x14ac:dyDescent="0.2">
      <c r="B23" s="373" t="s">
        <v>194</v>
      </c>
      <c r="C23" s="443"/>
      <c r="D23" s="507" t="s">
        <v>94</v>
      </c>
      <c r="E23" s="370" t="s">
        <v>206</v>
      </c>
      <c r="F23" s="370">
        <v>6</v>
      </c>
      <c r="G23" s="426"/>
      <c r="H23" s="459"/>
      <c r="I23" s="463"/>
      <c r="J23" s="463"/>
      <c r="K23" s="463"/>
    </row>
    <row r="24" spans="2:11" s="83" customFormat="1" ht="12" customHeight="1" x14ac:dyDescent="0.25">
      <c r="B24" s="441">
        <v>4.26</v>
      </c>
      <c r="C24" s="451"/>
      <c r="D24" s="374" t="s">
        <v>97</v>
      </c>
      <c r="E24" s="445"/>
      <c r="F24" s="425"/>
      <c r="G24" s="369"/>
      <c r="H24" s="456"/>
      <c r="I24" s="457"/>
      <c r="J24" s="457"/>
      <c r="K24" s="457"/>
    </row>
    <row r="25" spans="2:11" s="84" customFormat="1" ht="12" customHeight="1" x14ac:dyDescent="0.25">
      <c r="B25" s="373" t="s">
        <v>802</v>
      </c>
      <c r="C25" s="458"/>
      <c r="D25" s="373" t="s">
        <v>89</v>
      </c>
      <c r="E25" s="370" t="s">
        <v>206</v>
      </c>
      <c r="F25" s="372">
        <v>48</v>
      </c>
      <c r="G25" s="370" t="s">
        <v>80</v>
      </c>
      <c r="H25" s="459"/>
      <c r="I25" s="463"/>
      <c r="J25" s="463"/>
      <c r="K25" s="463"/>
    </row>
    <row r="26" spans="2:11" s="83" customFormat="1" ht="12" customHeight="1" x14ac:dyDescent="0.25">
      <c r="B26" s="441"/>
      <c r="C26" s="448"/>
      <c r="D26" s="374"/>
      <c r="E26" s="445"/>
      <c r="F26" s="425"/>
      <c r="G26" s="369"/>
      <c r="H26" s="456"/>
      <c r="I26" s="457"/>
      <c r="J26" s="457"/>
      <c r="K26" s="457"/>
    </row>
    <row r="27" spans="2:11" s="84" customFormat="1" ht="12" customHeight="1" x14ac:dyDescent="0.25">
      <c r="B27" s="373"/>
      <c r="C27" s="449"/>
      <c r="D27" s="373"/>
      <c r="E27" s="370"/>
      <c r="F27" s="372"/>
      <c r="G27" s="370"/>
      <c r="H27" s="459"/>
      <c r="I27" s="463"/>
      <c r="J27" s="463"/>
      <c r="K27" s="463"/>
    </row>
    <row r="28" spans="2:11" s="77" customFormat="1" ht="12" customHeight="1" x14ac:dyDescent="0.25">
      <c r="B28" s="441"/>
      <c r="C28" s="448"/>
      <c r="D28" s="374"/>
      <c r="E28" s="369"/>
      <c r="F28" s="369"/>
      <c r="G28" s="369"/>
      <c r="H28" s="456"/>
      <c r="I28" s="457"/>
      <c r="J28" s="457"/>
      <c r="K28" s="457"/>
    </row>
    <row r="29" spans="2:11" s="77" customFormat="1" ht="12" customHeight="1" x14ac:dyDescent="0.25">
      <c r="B29" s="373"/>
      <c r="C29" s="449"/>
      <c r="D29" s="373"/>
      <c r="E29" s="370"/>
      <c r="F29" s="370"/>
      <c r="G29" s="370"/>
      <c r="H29" s="459"/>
      <c r="I29" s="463"/>
      <c r="J29" s="463"/>
      <c r="K29" s="463"/>
    </row>
    <row r="30" spans="2:11" s="77" customFormat="1" ht="12" customHeight="1" x14ac:dyDescent="0.2">
      <c r="B30" s="441"/>
      <c r="C30" s="423"/>
      <c r="D30" s="506"/>
      <c r="E30" s="369"/>
      <c r="F30" s="369"/>
      <c r="G30" s="369"/>
      <c r="H30" s="456"/>
      <c r="I30" s="457"/>
      <c r="J30" s="457"/>
      <c r="K30" s="457"/>
    </row>
    <row r="31" spans="2:11" s="77" customFormat="1" ht="12" customHeight="1" x14ac:dyDescent="0.2">
      <c r="B31" s="373"/>
      <c r="C31" s="443"/>
      <c r="D31" s="507"/>
      <c r="E31" s="370"/>
      <c r="F31" s="372"/>
      <c r="G31" s="370"/>
      <c r="H31" s="459"/>
      <c r="I31" s="463"/>
      <c r="J31" s="463"/>
      <c r="K31" s="508"/>
    </row>
    <row r="32" spans="2:11" s="77" customFormat="1" ht="12" customHeight="1" x14ac:dyDescent="0.2">
      <c r="B32" s="441"/>
      <c r="C32" s="451"/>
      <c r="D32" s="506"/>
      <c r="E32" s="369"/>
      <c r="F32" s="369"/>
      <c r="G32" s="425"/>
      <c r="H32" s="456"/>
      <c r="I32" s="509"/>
      <c r="J32" s="509"/>
      <c r="K32" s="509"/>
    </row>
    <row r="33" spans="2:11" s="77" customFormat="1" ht="12" customHeight="1" x14ac:dyDescent="0.2">
      <c r="B33" s="373"/>
      <c r="C33" s="458"/>
      <c r="D33" s="507"/>
      <c r="E33" s="370"/>
      <c r="F33" s="370"/>
      <c r="G33" s="426"/>
      <c r="H33" s="459"/>
      <c r="I33" s="463"/>
      <c r="J33" s="463"/>
      <c r="K33" s="463"/>
    </row>
    <row r="34" spans="2:11" s="83" customFormat="1" ht="12" customHeight="1" x14ac:dyDescent="0.25">
      <c r="B34" s="441"/>
      <c r="C34" s="448"/>
      <c r="D34" s="374"/>
      <c r="E34" s="445"/>
      <c r="F34" s="425"/>
      <c r="G34" s="369"/>
      <c r="H34" s="456"/>
      <c r="I34" s="457"/>
      <c r="J34" s="457"/>
      <c r="K34" s="457"/>
    </row>
    <row r="35" spans="2:11" s="85" customFormat="1" ht="12" customHeight="1" x14ac:dyDescent="0.25">
      <c r="B35" s="373"/>
      <c r="C35" s="449"/>
      <c r="D35" s="373"/>
      <c r="E35" s="370"/>
      <c r="F35" s="372"/>
      <c r="G35" s="370"/>
      <c r="H35" s="459"/>
      <c r="I35" s="463"/>
      <c r="J35" s="463"/>
      <c r="K35" s="463"/>
    </row>
    <row r="36" spans="2:11" s="85" customFormat="1" ht="12" customHeight="1" x14ac:dyDescent="0.25">
      <c r="B36" s="441"/>
      <c r="C36" s="448"/>
      <c r="D36" s="374"/>
      <c r="E36" s="369"/>
      <c r="F36" s="369"/>
      <c r="G36" s="369"/>
      <c r="H36" s="456"/>
      <c r="I36" s="457"/>
      <c r="J36" s="457"/>
      <c r="K36" s="457"/>
    </row>
    <row r="37" spans="2:11" s="85" customFormat="1" ht="12" customHeight="1" x14ac:dyDescent="0.25">
      <c r="B37" s="373"/>
      <c r="C37" s="449"/>
      <c r="D37" s="373"/>
      <c r="E37" s="370"/>
      <c r="F37" s="370"/>
      <c r="G37" s="370"/>
      <c r="H37" s="459"/>
      <c r="I37" s="463"/>
      <c r="J37" s="463"/>
      <c r="K37" s="463"/>
    </row>
    <row r="38" spans="2:11" s="77" customFormat="1" ht="12" customHeight="1" x14ac:dyDescent="0.25">
      <c r="B38" s="441"/>
      <c r="C38" s="451"/>
      <c r="D38" s="374"/>
      <c r="E38" s="369"/>
      <c r="F38" s="376"/>
      <c r="G38" s="369"/>
      <c r="H38" s="456"/>
      <c r="I38" s="457"/>
      <c r="J38" s="457"/>
      <c r="K38" s="457"/>
    </row>
    <row r="39" spans="2:11" s="77" customFormat="1" ht="12" customHeight="1" x14ac:dyDescent="0.2">
      <c r="B39" s="373"/>
      <c r="C39" s="458"/>
      <c r="D39" s="507"/>
      <c r="E39" s="370"/>
      <c r="F39" s="370"/>
      <c r="G39" s="370"/>
      <c r="H39" s="459"/>
      <c r="I39" s="463"/>
      <c r="J39" s="463"/>
      <c r="K39" s="463"/>
    </row>
    <row r="40" spans="2:11" s="84" customFormat="1" ht="12" customHeight="1" x14ac:dyDescent="0.25">
      <c r="B40" s="441"/>
      <c r="C40" s="510"/>
      <c r="D40" s="374"/>
      <c r="E40" s="369"/>
      <c r="F40" s="369"/>
      <c r="G40" s="369"/>
      <c r="H40" s="456"/>
      <c r="I40" s="457"/>
      <c r="J40" s="457"/>
      <c r="K40" s="457"/>
    </row>
    <row r="41" spans="2:11" s="84" customFormat="1" ht="12" customHeight="1" x14ac:dyDescent="0.25">
      <c r="B41" s="373"/>
      <c r="C41" s="511"/>
      <c r="D41" s="373"/>
      <c r="E41" s="370"/>
      <c r="F41" s="370"/>
      <c r="G41" s="370"/>
      <c r="H41" s="459"/>
      <c r="I41" s="463"/>
      <c r="J41" s="463"/>
      <c r="K41" s="463"/>
    </row>
    <row r="42" spans="2:11" s="84" customFormat="1" ht="12" customHeight="1" x14ac:dyDescent="0.25">
      <c r="B42" s="547"/>
      <c r="C42" s="423"/>
      <c r="D42" s="374"/>
      <c r="E42" s="369"/>
      <c r="F42" s="376"/>
      <c r="G42" s="456"/>
      <c r="H42" s="456"/>
      <c r="I42" s="457"/>
      <c r="J42" s="457"/>
      <c r="K42" s="457"/>
    </row>
    <row r="43" spans="2:11" s="84" customFormat="1" ht="12" customHeight="1" x14ac:dyDescent="0.25">
      <c r="B43" s="96"/>
      <c r="C43" s="301"/>
      <c r="D43" s="359" t="s">
        <v>1142</v>
      </c>
      <c r="E43" s="153"/>
      <c r="F43" s="302"/>
      <c r="G43" s="153"/>
      <c r="H43" s="99"/>
      <c r="I43" s="112"/>
      <c r="J43" s="112"/>
      <c r="K43" s="112"/>
    </row>
  </sheetData>
  <mergeCells count="10">
    <mergeCell ref="B1:K1"/>
    <mergeCell ref="B3:K3"/>
    <mergeCell ref="B2:K2"/>
    <mergeCell ref="G4:G5"/>
    <mergeCell ref="H4:H5"/>
    <mergeCell ref="B4:B5"/>
    <mergeCell ref="D4:D5"/>
    <mergeCell ref="E4:E5"/>
    <mergeCell ref="F4:F5"/>
    <mergeCell ref="C4:C5"/>
  </mergeCells>
  <phoneticPr fontId="19" type="noConversion"/>
  <pageMargins left="0.55118110236220474" right="0" top="0.51181102362204722" bottom="0" header="0" footer="0"/>
  <pageSetup paperSize="9" orientation="landscape" horizontalDpi="4294967294" r:id="rId1"/>
  <headerFooter alignWithMargins="0"/>
  <rowBreaks count="1" manualBreakCount="1">
    <brk id="43" min="1" max="10" man="1"/>
  </rowBreaks>
  <ignoredErrors>
    <ignoredError sqref="B12:B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16</vt:i4>
      </vt:variant>
    </vt:vector>
  </HeadingPairs>
  <TitlesOfParts>
    <vt:vector size="42" baseType="lpstr">
      <vt:lpstr>Cover sht</vt:lpstr>
      <vt:lpstr>Civil Works 1</vt:lpstr>
      <vt:lpstr>Civil Works 2</vt:lpstr>
      <vt:lpstr>Steel Erection 1</vt:lpstr>
      <vt:lpstr>Steel Erection 2 </vt:lpstr>
      <vt:lpstr>Equipment Erection 1</vt:lpstr>
      <vt:lpstr>Equipment Erection 2 </vt:lpstr>
      <vt:lpstr>Conductor, Clamps &amp; Earthing 1 </vt:lpstr>
      <vt:lpstr>Conductors, Clamps &amp; Earthing 2</vt:lpstr>
      <vt:lpstr>MV Cabling</vt:lpstr>
      <vt:lpstr>Control Plant 1 </vt:lpstr>
      <vt:lpstr>Control Plant 2</vt:lpstr>
      <vt:lpstr>Control Plant 3</vt:lpstr>
      <vt:lpstr>Secondary Plant 1</vt:lpstr>
      <vt:lpstr>Secondary Plant 2</vt:lpstr>
      <vt:lpstr>Secondary Plant 3</vt:lpstr>
      <vt:lpstr>Control Building</vt:lpstr>
      <vt:lpstr>Decommission 1</vt:lpstr>
      <vt:lpstr>Decommission 2</vt:lpstr>
      <vt:lpstr>Labels 1</vt:lpstr>
      <vt:lpstr>App B (1)</vt:lpstr>
      <vt:lpstr>App B(2)</vt:lpstr>
      <vt:lpstr>Free issue (1)</vt:lpstr>
      <vt:lpstr>Free issue (2)</vt:lpstr>
      <vt:lpstr>Data</vt:lpstr>
      <vt:lpstr>Decommisioning</vt:lpstr>
      <vt:lpstr>'App B (1)'!Print_Area</vt:lpstr>
      <vt:lpstr>'App B(2)'!Print_Area</vt:lpstr>
      <vt:lpstr>'Civil Works 1'!Print_Area</vt:lpstr>
      <vt:lpstr>'Civil Works 2'!Print_Area</vt:lpstr>
      <vt:lpstr>'Conductor, Clamps &amp; Earthing 1 '!Print_Area</vt:lpstr>
      <vt:lpstr>'Conductors, Clamps &amp; Earthing 2'!Print_Area</vt:lpstr>
      <vt:lpstr>'Cover sht'!Print_Area</vt:lpstr>
      <vt:lpstr>'Equipment Erection 1'!Print_Area</vt:lpstr>
      <vt:lpstr>'Equipment Erection 2 '!Print_Area</vt:lpstr>
      <vt:lpstr>'Free issue (1)'!Print_Area</vt:lpstr>
      <vt:lpstr>'Free issue (2)'!Print_Area</vt:lpstr>
      <vt:lpstr>'Secondary Plant 1'!Print_Area</vt:lpstr>
      <vt:lpstr>'Secondary Plant 2'!Print_Area</vt:lpstr>
      <vt:lpstr>'Secondary Plant 3'!Print_Area</vt:lpstr>
      <vt:lpstr>'Steel Erection 1'!Print_Area</vt:lpstr>
      <vt:lpstr>'Steel Erection 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Bokamoco</dc:creator>
  <cp:lastModifiedBy>Andiswa Gwelana</cp:lastModifiedBy>
  <cp:lastPrinted>2017-07-02T13:58:04Z</cp:lastPrinted>
  <dcterms:created xsi:type="dcterms:W3CDTF">2011-06-07T08:02:34Z</dcterms:created>
  <dcterms:modified xsi:type="dcterms:W3CDTF">2022-05-18T11:29:09Z</dcterms:modified>
</cp:coreProperties>
</file>